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Beth Gundersen\Desktop\"/>
    </mc:Choice>
  </mc:AlternateContent>
  <xr:revisionPtr revIDLastSave="0" documentId="13_ncr:1_{BCF0DD28-1C68-4453-AB93-B4DB410310C4}" xr6:coauthVersionLast="47" xr6:coauthVersionMax="47" xr10:uidLastSave="{00000000-0000-0000-0000-000000000000}"/>
  <bookViews>
    <workbookView xWindow="84" yWindow="0" windowWidth="22956" windowHeight="12336" tabRatio="802" xr2:uid="{00000000-000D-0000-FFFF-FFFF00000000}"/>
  </bookViews>
  <sheets>
    <sheet name="Labor Rate" sheetId="2" r:id="rId1"/>
    <sheet name="System Variables" sheetId="1" r:id="rId2"/>
    <sheet name="Equipment Costs" sheetId="3" r:id="rId3"/>
    <sheet name="Pricing-GP-Margin" sheetId="5" r:id="rId4"/>
    <sheet name="Retail Prices-breakeven" sheetId="6" r:id="rId5"/>
  </sheets>
  <externalReferences>
    <externalReference r:id="rId6"/>
    <externalReference r:id="rId7"/>
  </externalReferences>
  <definedNames>
    <definedName name="COND_COIL">'Equipment Costs'!$B$34:$AA$40</definedName>
    <definedName name="FURNACE">'Equipment Costs'!$B$41:$AA$47</definedName>
    <definedName name="PACKAGE_GAS">'Equipment Costs'!$B$20:$AA$26</definedName>
    <definedName name="PACKAGE_HP">'Equipment Costs'!$B$27:$AA$33</definedName>
    <definedName name="_xlnm.Print_Area" localSheetId="2">'Equipment Costs'!$A$1:$AA$47</definedName>
    <definedName name="_xlnm.Print_Area" localSheetId="0">'Labor Rate'!$A$1:$S$24</definedName>
    <definedName name="_xlnm.Print_Area" localSheetId="3">'Pricing-GP-Margin'!$A$1:$Y$56</definedName>
    <definedName name="_xlnm.Print_Area" localSheetId="1">'System Variables'!$A$1:$Q$53</definedName>
    <definedName name="_xlnm.Print_Titles" localSheetId="2">'Equipment Costs'!$A:$B</definedName>
    <definedName name="sadf">'[1]System Variables'!$U$5:$V$10</definedName>
    <definedName name="SPLIT_GAS">'Equipment Costs'!$B$6:$AA$12</definedName>
    <definedName name="SPLIT_HP">'Equipment Costs'!$B$13:$AA$19</definedName>
    <definedName name="SPLITGAS">'Equipment Costs'!$B$6:$AA$12</definedName>
    <definedName name="Systems">'System Variables'!$D$4:$Q$53</definedName>
    <definedName name="systems1">'[2]System Variables'!$D$4:$R$51</definedName>
    <definedName name="systems13">'[2]System Variables'!$D$4:$R$51</definedName>
    <definedName name="Systems13cond">'[2]System Variables'!$D$4:$R$51</definedName>
    <definedName name="Systems13furnace">'[2]System Variables'!$D$4:$R$51</definedName>
    <definedName name="systems13packagehp">'[2]System Variables'!$D$4:$R$51</definedName>
    <definedName name="Systems13splitHP">'[2]System Variables'!$D$4:$R$51</definedName>
    <definedName name="Systemspackagegas">'[2]System Variables'!$D$4:$R$51</definedName>
    <definedName name="test">#REF!</definedName>
    <definedName name="tonnage">'[2]System Variables'!$U$5:$V$10</definedName>
    <definedName name="Tonnagecond">'[2]System Variables'!$U$5:$V$10</definedName>
    <definedName name="Tonnagefurnace">'[2]System Variables'!$U$5:$V$10</definedName>
    <definedName name="TonnagepackageHP">'[2]System Variables'!$U$5:$V$10</definedName>
    <definedName name="Tonnages">'[2]System Variables'!$U$5:$V$10</definedName>
    <definedName name="Tonnagespackagegas">'[2]System Variables'!$U$5:$V$10</definedName>
    <definedName name="TonnagessplitHP">'[2]System Variables'!$U$5:$V$10</definedName>
    <definedName name="Tons">'System Variables'!$T$5:$U$10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" l="1"/>
  <c r="G28" i="3"/>
  <c r="J52" i="1"/>
  <c r="J48" i="1" a="1"/>
  <c r="J48" i="1"/>
  <c r="J42" i="1" a="1"/>
  <c r="J42" i="1"/>
  <c r="J37" i="1" a="1"/>
  <c r="J37" i="1"/>
  <c r="J53" i="1"/>
  <c r="P16" i="2"/>
  <c r="D4" i="2"/>
  <c r="D5" i="2"/>
  <c r="D8" i="2"/>
  <c r="L8" i="2"/>
  <c r="C46" i="6"/>
  <c r="G29" i="3"/>
  <c r="C38" i="6"/>
  <c r="G30" i="3"/>
  <c r="C30" i="6"/>
  <c r="G31" i="3"/>
  <c r="C22" i="6"/>
  <c r="G32" i="3"/>
  <c r="C14" i="6"/>
  <c r="G33" i="3"/>
  <c r="C6" i="6"/>
  <c r="V41" i="3"/>
  <c r="V34" i="3"/>
  <c r="V27" i="3"/>
  <c r="V20" i="3"/>
  <c r="V13" i="3"/>
  <c r="V6" i="3"/>
  <c r="E17" i="2"/>
  <c r="E19" i="2"/>
  <c r="F17" i="2"/>
  <c r="F19" i="2"/>
  <c r="G17" i="2"/>
  <c r="G19" i="2"/>
  <c r="H17" i="2"/>
  <c r="H19" i="2"/>
  <c r="I17" i="2"/>
  <c r="I19" i="2"/>
  <c r="J17" i="2"/>
  <c r="J19" i="2"/>
  <c r="K17" i="2"/>
  <c r="K19" i="2"/>
  <c r="L17" i="2"/>
  <c r="L19" i="2"/>
  <c r="M17" i="2"/>
  <c r="M19" i="2"/>
  <c r="N17" i="2"/>
  <c r="N19" i="2"/>
  <c r="O17" i="2"/>
  <c r="O19" i="2"/>
  <c r="P15" i="2"/>
  <c r="P14" i="2"/>
  <c r="D17" i="2"/>
  <c r="N50" i="5"/>
  <c r="N41" i="5"/>
  <c r="N32" i="5"/>
  <c r="N23" i="5"/>
  <c r="N14" i="5"/>
  <c r="N5" i="5"/>
  <c r="N3" i="1"/>
  <c r="J3" i="1"/>
  <c r="P52" i="1"/>
  <c r="P48" i="1" a="1"/>
  <c r="P48" i="1"/>
  <c r="P42" i="1" a="1"/>
  <c r="P42" i="1"/>
  <c r="P37" i="1" a="1"/>
  <c r="P37" i="1"/>
  <c r="N52" i="1"/>
  <c r="L52" i="1"/>
  <c r="H52" i="1"/>
  <c r="F52" i="1"/>
  <c r="D52" i="1"/>
  <c r="L37" i="1" a="1"/>
  <c r="L37" i="1"/>
  <c r="L47" i="3"/>
  <c r="Q44" i="3"/>
  <c r="Q35" i="3"/>
  <c r="G39" i="3"/>
  <c r="L28" i="3"/>
  <c r="Q25" i="3"/>
  <c r="L23" i="3"/>
  <c r="G21" i="3"/>
  <c r="L17" i="3"/>
  <c r="Q12" i="3"/>
  <c r="L10" i="3"/>
  <c r="G12" i="3"/>
  <c r="Y50" i="5"/>
  <c r="X50" i="5"/>
  <c r="W50" i="5"/>
  <c r="V50" i="5"/>
  <c r="U50" i="5"/>
  <c r="S50" i="5"/>
  <c r="R50" i="5"/>
  <c r="Q50" i="5"/>
  <c r="P50" i="5"/>
  <c r="O50" i="5"/>
  <c r="M50" i="5"/>
  <c r="L50" i="5"/>
  <c r="K50" i="5"/>
  <c r="J50" i="5"/>
  <c r="I50" i="5"/>
  <c r="G50" i="5"/>
  <c r="F50" i="5"/>
  <c r="E50" i="5"/>
  <c r="D50" i="5"/>
  <c r="C50" i="5"/>
  <c r="Y41" i="5"/>
  <c r="X41" i="5"/>
  <c r="W41" i="5"/>
  <c r="V41" i="5"/>
  <c r="U41" i="5"/>
  <c r="S41" i="5"/>
  <c r="R41" i="5"/>
  <c r="Q41" i="5"/>
  <c r="P41" i="5"/>
  <c r="O41" i="5"/>
  <c r="M41" i="5"/>
  <c r="L41" i="5"/>
  <c r="K41" i="5"/>
  <c r="J41" i="5"/>
  <c r="I41" i="5"/>
  <c r="G41" i="5"/>
  <c r="F41" i="5"/>
  <c r="E41" i="5"/>
  <c r="D41" i="5"/>
  <c r="C41" i="5"/>
  <c r="Y32" i="5"/>
  <c r="X32" i="5"/>
  <c r="W32" i="5"/>
  <c r="V32" i="5"/>
  <c r="U32" i="5"/>
  <c r="S32" i="5"/>
  <c r="R32" i="5"/>
  <c r="Q32" i="5"/>
  <c r="P32" i="5"/>
  <c r="O32" i="5"/>
  <c r="M32" i="5"/>
  <c r="L32" i="5"/>
  <c r="K32" i="5"/>
  <c r="J32" i="5"/>
  <c r="I32" i="5"/>
  <c r="G32" i="5"/>
  <c r="F32" i="5"/>
  <c r="E32" i="5"/>
  <c r="D32" i="5"/>
  <c r="C32" i="5"/>
  <c r="Y23" i="5"/>
  <c r="X23" i="5"/>
  <c r="W23" i="5"/>
  <c r="V23" i="5"/>
  <c r="U23" i="5"/>
  <c r="S23" i="5"/>
  <c r="R23" i="5"/>
  <c r="Q23" i="5"/>
  <c r="P23" i="5"/>
  <c r="O23" i="5"/>
  <c r="M23" i="5"/>
  <c r="L23" i="5"/>
  <c r="K23" i="5"/>
  <c r="J23" i="5"/>
  <c r="I23" i="5"/>
  <c r="G23" i="5"/>
  <c r="F23" i="5"/>
  <c r="E23" i="5"/>
  <c r="D23" i="5"/>
  <c r="C23" i="5"/>
  <c r="Y14" i="5"/>
  <c r="X14" i="5"/>
  <c r="W14" i="5"/>
  <c r="V14" i="5"/>
  <c r="U14" i="5"/>
  <c r="S14" i="5"/>
  <c r="R14" i="5"/>
  <c r="Q14" i="5"/>
  <c r="P14" i="5"/>
  <c r="O14" i="5"/>
  <c r="M14" i="5"/>
  <c r="L14" i="5"/>
  <c r="K14" i="5"/>
  <c r="J14" i="5"/>
  <c r="I14" i="5"/>
  <c r="G14" i="5"/>
  <c r="F14" i="5"/>
  <c r="E14" i="5"/>
  <c r="D14" i="5"/>
  <c r="C14" i="5"/>
  <c r="Y5" i="5"/>
  <c r="X5" i="5"/>
  <c r="W5" i="5"/>
  <c r="V5" i="5"/>
  <c r="U5" i="5"/>
  <c r="S5" i="5"/>
  <c r="R5" i="5"/>
  <c r="Q5" i="5"/>
  <c r="P5" i="5"/>
  <c r="O5" i="5"/>
  <c r="M5" i="5"/>
  <c r="L5" i="5"/>
  <c r="K5" i="5"/>
  <c r="J5" i="5"/>
  <c r="I5" i="5"/>
  <c r="G5" i="5"/>
  <c r="F5" i="5"/>
  <c r="E5" i="5"/>
  <c r="D5" i="5"/>
  <c r="C5" i="5"/>
  <c r="AA41" i="3"/>
  <c r="Q41" i="3"/>
  <c r="L41" i="3"/>
  <c r="G41" i="3"/>
  <c r="AA34" i="3"/>
  <c r="Q34" i="3"/>
  <c r="L34" i="3"/>
  <c r="G34" i="3"/>
  <c r="AA27" i="3"/>
  <c r="Q27" i="3"/>
  <c r="L27" i="3"/>
  <c r="G27" i="3"/>
  <c r="AA20" i="3"/>
  <c r="Q20" i="3"/>
  <c r="L20" i="3"/>
  <c r="G20" i="3"/>
  <c r="AA13" i="3"/>
  <c r="Q13" i="3"/>
  <c r="L13" i="3"/>
  <c r="G13" i="3"/>
  <c r="L6" i="2"/>
  <c r="AA6" i="3"/>
  <c r="Q6" i="3"/>
  <c r="L6" i="3"/>
  <c r="G6" i="3"/>
  <c r="N48" i="1" a="1"/>
  <c r="N48" i="1"/>
  <c r="L48" i="1" a="1"/>
  <c r="L48" i="1"/>
  <c r="H48" i="1" a="1"/>
  <c r="H48" i="1"/>
  <c r="F48" i="1" a="1"/>
  <c r="F48" i="1"/>
  <c r="D48" i="1" a="1"/>
  <c r="D48" i="1"/>
  <c r="N42" i="1" a="1"/>
  <c r="N42" i="1"/>
  <c r="L42" i="1" a="1"/>
  <c r="L42" i="1"/>
  <c r="H42" i="1" a="1"/>
  <c r="H42" i="1"/>
  <c r="F42" i="1" a="1"/>
  <c r="F42" i="1"/>
  <c r="D42" i="1" a="1"/>
  <c r="D42" i="1"/>
  <c r="E5" i="2"/>
  <c r="E9" i="2"/>
  <c r="Q7" i="3"/>
  <c r="Q17" i="3"/>
  <c r="Q15" i="3"/>
  <c r="AA26" i="3"/>
  <c r="AA24" i="3"/>
  <c r="AA22" i="3"/>
  <c r="AA33" i="3"/>
  <c r="AA31" i="3"/>
  <c r="AA29" i="3"/>
  <c r="V12" i="3"/>
  <c r="V7" i="3"/>
  <c r="AA16" i="3"/>
  <c r="V39" i="3"/>
  <c r="V37" i="3"/>
  <c r="V35" i="3"/>
  <c r="V32" i="3"/>
  <c r="V30" i="3"/>
  <c r="V28" i="3"/>
  <c r="V8" i="3"/>
  <c r="AA18" i="3"/>
  <c r="AA14" i="3"/>
  <c r="V18" i="3"/>
  <c r="V16" i="3"/>
  <c r="V10" i="3"/>
  <c r="V46" i="3"/>
  <c r="V44" i="3"/>
  <c r="V42" i="3"/>
  <c r="V26" i="3"/>
  <c r="V24" i="3"/>
  <c r="V22" i="3"/>
  <c r="V9" i="3"/>
  <c r="AA25" i="3"/>
  <c r="AA23" i="3"/>
  <c r="AA21" i="3"/>
  <c r="AA32" i="3"/>
  <c r="AA30" i="3"/>
  <c r="AA28" i="3"/>
  <c r="V11" i="3"/>
  <c r="AA17" i="3"/>
  <c r="V40" i="3"/>
  <c r="V38" i="3"/>
  <c r="V36" i="3"/>
  <c r="V33" i="3"/>
  <c r="V31" i="3"/>
  <c r="V29" i="3"/>
  <c r="V14" i="3"/>
  <c r="AA19" i="3"/>
  <c r="AA15" i="3"/>
  <c r="V19" i="3"/>
  <c r="V17" i="3"/>
  <c r="V15" i="3"/>
  <c r="V47" i="3"/>
  <c r="V45" i="3"/>
  <c r="V43" i="3"/>
  <c r="V25" i="3"/>
  <c r="V23" i="3"/>
  <c r="V21" i="3"/>
  <c r="AA36" i="3"/>
  <c r="AA38" i="3"/>
  <c r="AA40" i="3"/>
  <c r="AA43" i="3"/>
  <c r="AA45" i="3"/>
  <c r="AA47" i="3"/>
  <c r="AA10" i="3"/>
  <c r="AA35" i="3"/>
  <c r="AA37" i="3"/>
  <c r="AA39" i="3"/>
  <c r="AA42" i="3"/>
  <c r="AA44" i="3"/>
  <c r="AA46" i="3"/>
  <c r="AA7" i="3"/>
  <c r="AA8" i="3"/>
  <c r="P53" i="1"/>
  <c r="N37" i="1" a="1"/>
  <c r="N37" i="1"/>
  <c r="N53" i="1"/>
  <c r="L42" i="3"/>
  <c r="L46" i="3"/>
  <c r="Q43" i="3"/>
  <c r="L40" i="3"/>
  <c r="G38" i="3"/>
  <c r="Q33" i="3"/>
  <c r="Q24" i="3"/>
  <c r="L22" i="3"/>
  <c r="G19" i="3"/>
  <c r="L16" i="3"/>
  <c r="Q14" i="3"/>
  <c r="AA12" i="3"/>
  <c r="Q11" i="3"/>
  <c r="L9" i="3"/>
  <c r="G7" i="3"/>
  <c r="F37" i="1" a="1"/>
  <c r="F37" i="1"/>
  <c r="F53" i="1"/>
  <c r="G44" i="3"/>
  <c r="Q47" i="3"/>
  <c r="Q38" i="3"/>
  <c r="L36" i="3"/>
  <c r="L31" i="3"/>
  <c r="Q29" i="3"/>
  <c r="L26" i="3"/>
  <c r="G24" i="3"/>
  <c r="G15" i="3"/>
  <c r="Q18" i="3"/>
  <c r="G9" i="3"/>
  <c r="Q8" i="3"/>
  <c r="G16" i="3"/>
  <c r="Q21" i="3"/>
  <c r="L32" i="3"/>
  <c r="L37" i="3"/>
  <c r="L43" i="3"/>
  <c r="H37" i="1" a="1"/>
  <c r="D37" i="1" a="1"/>
  <c r="D37" i="1"/>
  <c r="D53" i="1"/>
  <c r="L53" i="1"/>
  <c r="P17" i="2"/>
  <c r="P19" i="2"/>
  <c r="D19" i="2"/>
  <c r="E8" i="2"/>
  <c r="G8" i="3"/>
  <c r="Q19" i="3"/>
  <c r="G25" i="3"/>
  <c r="Q30" i="3"/>
  <c r="G35" i="3"/>
  <c r="Q39" i="3"/>
  <c r="G45" i="3"/>
  <c r="G10" i="3"/>
  <c r="L8" i="3"/>
  <c r="L12" i="3"/>
  <c r="Q10" i="3"/>
  <c r="AA11" i="3"/>
  <c r="L15" i="3"/>
  <c r="G14" i="3"/>
  <c r="G18" i="3"/>
  <c r="G23" i="3"/>
  <c r="L21" i="3"/>
  <c r="L25" i="3"/>
  <c r="Q23" i="3"/>
  <c r="Q28" i="3"/>
  <c r="Q32" i="3"/>
  <c r="L30" i="3"/>
  <c r="G37" i="3"/>
  <c r="L35" i="3"/>
  <c r="L39" i="3"/>
  <c r="Q37" i="3"/>
  <c r="Q42" i="3"/>
  <c r="Q46" i="3"/>
  <c r="L45" i="3"/>
  <c r="G43" i="3"/>
  <c r="G47" i="3"/>
  <c r="H37" i="1"/>
  <c r="H53" i="1"/>
  <c r="G11" i="3"/>
  <c r="L7" i="3"/>
  <c r="L11" i="3"/>
  <c r="Q9" i="3"/>
  <c r="AA9" i="3"/>
  <c r="Q16" i="3"/>
  <c r="L14" i="3"/>
  <c r="L18" i="3"/>
  <c r="G17" i="3"/>
  <c r="G22" i="3"/>
  <c r="G26" i="3"/>
  <c r="L24" i="3"/>
  <c r="Q22" i="3"/>
  <c r="Q26" i="3"/>
  <c r="Q31" i="3"/>
  <c r="L29" i="3"/>
  <c r="L33" i="3"/>
  <c r="G36" i="3"/>
  <c r="G40" i="3"/>
  <c r="L38" i="3"/>
  <c r="Q36" i="3"/>
  <c r="Q40" i="3"/>
  <c r="Q45" i="3"/>
  <c r="L44" i="3"/>
  <c r="G42" i="3"/>
  <c r="G46" i="3"/>
  <c r="L19" i="3"/>
  <c r="C44" i="6"/>
  <c r="C36" i="6"/>
  <c r="C28" i="6"/>
  <c r="C20" i="6"/>
  <c r="C12" i="6"/>
  <c r="C4" i="6"/>
  <c r="C43" i="6"/>
  <c r="C35" i="6"/>
  <c r="C27" i="6"/>
  <c r="C19" i="6"/>
  <c r="C11" i="6"/>
  <c r="C3" i="6"/>
  <c r="C45" i="6"/>
  <c r="C37" i="6"/>
  <c r="C29" i="6"/>
  <c r="C21" i="6"/>
  <c r="C13" i="6"/>
  <c r="C5" i="6"/>
  <c r="M4" i="2"/>
  <c r="M5" i="2"/>
  <c r="M6" i="2"/>
  <c r="L10" i="2"/>
  <c r="M10" i="2"/>
  <c r="N10" i="2"/>
  <c r="D9" i="2"/>
  <c r="D10" i="2"/>
  <c r="O24" i="6"/>
  <c r="O23" i="6"/>
  <c r="O22" i="6"/>
  <c r="O21" i="6"/>
  <c r="O20" i="6"/>
  <c r="O19" i="6"/>
  <c r="O16" i="6"/>
  <c r="O15" i="6"/>
  <c r="O14" i="6"/>
  <c r="O13" i="6"/>
  <c r="O12" i="6"/>
  <c r="O11" i="6"/>
  <c r="O8" i="6"/>
  <c r="L7" i="6"/>
  <c r="O7" i="6"/>
  <c r="O6" i="6"/>
  <c r="O5" i="6"/>
  <c r="O4" i="6"/>
  <c r="O3" i="6"/>
  <c r="L24" i="6"/>
  <c r="L23" i="6"/>
  <c r="L22" i="6"/>
  <c r="L21" i="6"/>
  <c r="L20" i="6"/>
  <c r="L19" i="6"/>
  <c r="L16" i="6"/>
  <c r="L15" i="6"/>
  <c r="L14" i="6"/>
  <c r="L13" i="6"/>
  <c r="L12" i="6"/>
  <c r="L11" i="6"/>
  <c r="L8" i="6"/>
  <c r="L6" i="6"/>
  <c r="L5" i="6"/>
  <c r="L4" i="6"/>
  <c r="L3" i="6"/>
  <c r="I24" i="6"/>
  <c r="I23" i="6"/>
  <c r="I22" i="6"/>
  <c r="I21" i="6"/>
  <c r="I20" i="6"/>
  <c r="I19" i="6"/>
  <c r="I16" i="6"/>
  <c r="I15" i="6"/>
  <c r="I14" i="6"/>
  <c r="I13" i="6"/>
  <c r="I12" i="6"/>
  <c r="I11" i="6"/>
  <c r="I8" i="6"/>
  <c r="I7" i="6"/>
  <c r="I6" i="6"/>
  <c r="I5" i="6"/>
  <c r="I4" i="6"/>
  <c r="I3" i="6"/>
  <c r="F24" i="6"/>
  <c r="F23" i="6"/>
  <c r="F22" i="6"/>
  <c r="F21" i="6"/>
  <c r="F20" i="6"/>
  <c r="F19" i="6"/>
  <c r="F16" i="6"/>
  <c r="F15" i="6"/>
  <c r="F14" i="6"/>
  <c r="F13" i="6"/>
  <c r="F12" i="6"/>
  <c r="F11" i="6"/>
  <c r="F8" i="6"/>
  <c r="F7" i="6"/>
  <c r="F6" i="6"/>
  <c r="F5" i="6"/>
  <c r="F4" i="6"/>
  <c r="F3" i="6"/>
  <c r="C8" i="6"/>
  <c r="C7" i="6"/>
  <c r="C16" i="6"/>
  <c r="C15" i="6"/>
  <c r="C24" i="6"/>
  <c r="C23" i="6"/>
  <c r="O32" i="6"/>
  <c r="O31" i="6"/>
  <c r="O30" i="6"/>
  <c r="O29" i="6"/>
  <c r="O28" i="6"/>
  <c r="O27" i="6"/>
  <c r="L32" i="6"/>
  <c r="L31" i="6"/>
  <c r="L30" i="6"/>
  <c r="L29" i="6"/>
  <c r="L28" i="6"/>
  <c r="L27" i="6"/>
  <c r="I32" i="6"/>
  <c r="I31" i="6"/>
  <c r="I30" i="6"/>
  <c r="I29" i="6"/>
  <c r="I28" i="6"/>
  <c r="I27" i="6"/>
  <c r="F32" i="6"/>
  <c r="F31" i="6"/>
  <c r="F30" i="6"/>
  <c r="F29" i="6"/>
  <c r="F28" i="6"/>
  <c r="F27" i="6"/>
  <c r="C32" i="6"/>
  <c r="C31" i="6"/>
  <c r="O40" i="6"/>
  <c r="O39" i="6"/>
  <c r="O38" i="6"/>
  <c r="O37" i="6"/>
  <c r="O36" i="6"/>
  <c r="O35" i="6"/>
  <c r="L40" i="6"/>
  <c r="L39" i="6"/>
  <c r="L38" i="6"/>
  <c r="L37" i="6"/>
  <c r="L36" i="6"/>
  <c r="L35" i="6"/>
  <c r="I40" i="6"/>
  <c r="I39" i="6"/>
  <c r="I38" i="6"/>
  <c r="I37" i="6"/>
  <c r="I36" i="6"/>
  <c r="I35" i="6"/>
  <c r="F40" i="6"/>
  <c r="F39" i="6"/>
  <c r="F37" i="6"/>
  <c r="F38" i="6"/>
  <c r="F36" i="6"/>
  <c r="F35" i="6"/>
  <c r="C40" i="6"/>
  <c r="C39" i="6"/>
  <c r="O48" i="6"/>
  <c r="O47" i="6"/>
  <c r="O46" i="6"/>
  <c r="O45" i="6"/>
  <c r="O44" i="6"/>
  <c r="O43" i="6"/>
  <c r="L48" i="6"/>
  <c r="L47" i="6"/>
  <c r="L46" i="6"/>
  <c r="L45" i="6"/>
  <c r="L44" i="6"/>
  <c r="L43" i="6"/>
  <c r="I48" i="6"/>
  <c r="I47" i="6"/>
  <c r="I46" i="6"/>
  <c r="I45" i="6"/>
  <c r="I44" i="6"/>
  <c r="I43" i="6"/>
  <c r="F48" i="6"/>
  <c r="F47" i="6"/>
  <c r="F46" i="6"/>
  <c r="F45" i="6"/>
  <c r="F44" i="6"/>
  <c r="F43" i="6"/>
  <c r="C48" i="6"/>
  <c r="C47" i="6"/>
  <c r="L7" i="2"/>
  <c r="M10" i="5"/>
  <c r="I10" i="5"/>
  <c r="J8" i="5"/>
  <c r="L15" i="5"/>
  <c r="F15" i="5"/>
  <c r="J7" i="5"/>
  <c r="J17" i="5"/>
  <c r="D17" i="5"/>
  <c r="P17" i="5"/>
  <c r="J20" i="5"/>
  <c r="D20" i="5"/>
  <c r="P20" i="5"/>
  <c r="J33" i="5"/>
  <c r="I7" i="5"/>
  <c r="I8" i="5"/>
  <c r="J15" i="5"/>
  <c r="D15" i="5"/>
  <c r="P15" i="5"/>
  <c r="I19" i="5"/>
  <c r="C19" i="5"/>
  <c r="O19" i="5"/>
  <c r="M25" i="5"/>
  <c r="S25" i="5"/>
  <c r="K35" i="5"/>
  <c r="E35" i="5"/>
  <c r="Q35" i="5"/>
  <c r="I33" i="5"/>
  <c r="C33" i="5"/>
  <c r="O33" i="5"/>
  <c r="K28" i="5"/>
  <c r="E28" i="5"/>
  <c r="Q28" i="5"/>
  <c r="M35" i="5"/>
  <c r="S35" i="5"/>
  <c r="J35" i="5"/>
  <c r="K45" i="5"/>
  <c r="E45" i="5"/>
  <c r="Q45" i="5"/>
  <c r="J44" i="5"/>
  <c r="D44" i="5"/>
  <c r="P44" i="5"/>
  <c r="L52" i="5"/>
  <c r="R52" i="5"/>
  <c r="I38" i="5"/>
  <c r="C38" i="5"/>
  <c r="O38" i="5"/>
  <c r="I44" i="5"/>
  <c r="C44" i="5"/>
  <c r="O44" i="5"/>
  <c r="L47" i="5"/>
  <c r="F47" i="5"/>
  <c r="R47" i="5"/>
  <c r="J53" i="5"/>
  <c r="D53" i="5"/>
  <c r="P53" i="5"/>
  <c r="I9" i="5"/>
  <c r="J16" i="5"/>
  <c r="D16" i="5"/>
  <c r="P16" i="5"/>
  <c r="L18" i="5"/>
  <c r="F18" i="5"/>
  <c r="R18" i="5"/>
  <c r="K20" i="5"/>
  <c r="E20" i="5"/>
  <c r="Q20" i="5"/>
  <c r="K24" i="5"/>
  <c r="E24" i="5"/>
  <c r="Q24" i="5"/>
  <c r="I26" i="5"/>
  <c r="C26" i="5"/>
  <c r="O26" i="5"/>
  <c r="K27" i="5"/>
  <c r="E27" i="5"/>
  <c r="Q27" i="5"/>
  <c r="I29" i="5"/>
  <c r="C29" i="5"/>
  <c r="O29" i="5"/>
  <c r="J34" i="5"/>
  <c r="I35" i="5"/>
  <c r="C35" i="5"/>
  <c r="O35" i="5"/>
  <c r="K56" i="5"/>
  <c r="E56" i="5"/>
  <c r="Q56" i="5"/>
  <c r="J9" i="5"/>
  <c r="D9" i="5"/>
  <c r="P9" i="5"/>
  <c r="M8" i="5"/>
  <c r="G8" i="5"/>
  <c r="I11" i="5"/>
  <c r="C11" i="5"/>
  <c r="O11" i="5"/>
  <c r="M15" i="5"/>
  <c r="S15" i="5"/>
  <c r="K6" i="5"/>
  <c r="E6" i="5"/>
  <c r="M16" i="5"/>
  <c r="G16" i="5"/>
  <c r="I24" i="5"/>
  <c r="C24" i="5"/>
  <c r="O24" i="5"/>
  <c r="M26" i="5"/>
  <c r="S26" i="5"/>
  <c r="J10" i="5"/>
  <c r="J11" i="5"/>
  <c r="K11" i="5"/>
  <c r="E11" i="5"/>
  <c r="Q11" i="5"/>
  <c r="M17" i="5"/>
  <c r="G17" i="5"/>
  <c r="S17" i="5"/>
  <c r="M20" i="5"/>
  <c r="G20" i="5"/>
  <c r="S20" i="5"/>
  <c r="I27" i="5"/>
  <c r="C27" i="5"/>
  <c r="O27" i="5"/>
  <c r="L27" i="5"/>
  <c r="R27" i="5"/>
  <c r="J37" i="5"/>
  <c r="M33" i="5"/>
  <c r="S33" i="5"/>
  <c r="K37" i="5"/>
  <c r="E37" i="5"/>
  <c r="Q37" i="5"/>
  <c r="M37" i="5"/>
  <c r="S37" i="5"/>
  <c r="K38" i="5"/>
  <c r="E38" i="5"/>
  <c r="Q38" i="5"/>
  <c r="J51" i="5"/>
  <c r="D51" i="5"/>
  <c r="P51" i="5"/>
  <c r="I54" i="5"/>
  <c r="C54" i="5"/>
  <c r="O54" i="5"/>
  <c r="J42" i="5"/>
  <c r="D42" i="5"/>
  <c r="P42" i="5"/>
  <c r="M46" i="5"/>
  <c r="G46" i="5"/>
  <c r="S46" i="5"/>
  <c r="I52" i="5"/>
  <c r="C52" i="5"/>
  <c r="O52" i="5"/>
  <c r="M55" i="5"/>
  <c r="S55" i="5"/>
  <c r="I16" i="5"/>
  <c r="C16" i="5"/>
  <c r="O16" i="5"/>
  <c r="L17" i="5"/>
  <c r="F17" i="5"/>
  <c r="R17" i="5"/>
  <c r="K19" i="5"/>
  <c r="E19" i="5"/>
  <c r="Q19" i="5"/>
  <c r="L20" i="5"/>
  <c r="F20" i="5"/>
  <c r="R20" i="5"/>
  <c r="L25" i="5"/>
  <c r="R25" i="5"/>
  <c r="J27" i="5"/>
  <c r="D27" i="5"/>
  <c r="P27" i="5"/>
  <c r="L28" i="5"/>
  <c r="K33" i="5"/>
  <c r="E33" i="5"/>
  <c r="Q33" i="5"/>
  <c r="K34" i="5"/>
  <c r="E34" i="5"/>
  <c r="Q34" i="5"/>
  <c r="I36" i="5"/>
  <c r="C36" i="5"/>
  <c r="O36" i="5"/>
  <c r="M38" i="5"/>
  <c r="S38" i="5"/>
  <c r="K42" i="5"/>
  <c r="E42" i="5"/>
  <c r="Q42" i="5"/>
  <c r="K44" i="5"/>
  <c r="E44" i="5"/>
  <c r="Q44" i="5"/>
  <c r="J45" i="5"/>
  <c r="D45" i="5"/>
  <c r="P45" i="5"/>
  <c r="M47" i="5"/>
  <c r="G47" i="5"/>
  <c r="S47" i="5"/>
  <c r="J52" i="5"/>
  <c r="D52" i="5"/>
  <c r="P52" i="5"/>
  <c r="K53" i="5"/>
  <c r="E53" i="5"/>
  <c r="Q53" i="5"/>
  <c r="I55" i="5"/>
  <c r="C55" i="5"/>
  <c r="O55" i="5"/>
  <c r="J56" i="5"/>
  <c r="D56" i="5"/>
  <c r="P56" i="5"/>
  <c r="M7" i="5"/>
  <c r="J6" i="5"/>
  <c r="D6" i="5"/>
  <c r="K17" i="5"/>
  <c r="E17" i="5"/>
  <c r="Q17" i="5"/>
  <c r="K25" i="5"/>
  <c r="E25" i="5"/>
  <c r="Q25" i="5"/>
  <c r="L8" i="5"/>
  <c r="M9" i="5"/>
  <c r="L24" i="5"/>
  <c r="R24" i="5"/>
  <c r="M28" i="5"/>
  <c r="S28" i="5"/>
  <c r="I34" i="5"/>
  <c r="C34" i="5"/>
  <c r="O34" i="5"/>
  <c r="L42" i="5"/>
  <c r="F42" i="5"/>
  <c r="R42" i="5"/>
  <c r="L53" i="5"/>
  <c r="R53" i="5"/>
  <c r="L43" i="5"/>
  <c r="F43" i="5"/>
  <c r="R43" i="5"/>
  <c r="M53" i="5"/>
  <c r="S53" i="5"/>
  <c r="L16" i="5"/>
  <c r="F16" i="5"/>
  <c r="R16" i="5"/>
  <c r="L19" i="5"/>
  <c r="F19" i="5"/>
  <c r="R19" i="5"/>
  <c r="J25" i="5"/>
  <c r="D25" i="5"/>
  <c r="P25" i="5"/>
  <c r="M29" i="5"/>
  <c r="S29" i="5"/>
  <c r="L35" i="5"/>
  <c r="L37" i="5"/>
  <c r="J43" i="5"/>
  <c r="D43" i="5"/>
  <c r="P43" i="5"/>
  <c r="M45" i="5"/>
  <c r="S45" i="5"/>
  <c r="K47" i="5"/>
  <c r="E47" i="5"/>
  <c r="Q47" i="5"/>
  <c r="M52" i="5"/>
  <c r="S52" i="5"/>
  <c r="L54" i="5"/>
  <c r="R54" i="5"/>
  <c r="L56" i="5"/>
  <c r="R56" i="5"/>
  <c r="K21" i="2"/>
  <c r="L21" i="2"/>
  <c r="I15" i="5"/>
  <c r="C15" i="5"/>
  <c r="O15" i="5"/>
  <c r="L10" i="5"/>
  <c r="I6" i="5"/>
  <c r="C6" i="5"/>
  <c r="L34" i="5"/>
  <c r="R34" i="5"/>
  <c r="L55" i="5"/>
  <c r="R55" i="5"/>
  <c r="I17" i="5"/>
  <c r="C17" i="5"/>
  <c r="O17" i="5"/>
  <c r="J29" i="5"/>
  <c r="D29" i="5"/>
  <c r="P29" i="5"/>
  <c r="M43" i="5"/>
  <c r="S43" i="5"/>
  <c r="K52" i="5"/>
  <c r="E52" i="5"/>
  <c r="Q52" i="5"/>
  <c r="L11" i="5"/>
  <c r="K9" i="5"/>
  <c r="M19" i="5"/>
  <c r="G19" i="5"/>
  <c r="S19" i="5"/>
  <c r="J28" i="5"/>
  <c r="D28" i="5"/>
  <c r="P28" i="5"/>
  <c r="L9" i="5"/>
  <c r="M18" i="5"/>
  <c r="G18" i="5"/>
  <c r="S18" i="5"/>
  <c r="K29" i="5"/>
  <c r="E29" i="5"/>
  <c r="Q29" i="5"/>
  <c r="M44" i="5"/>
  <c r="G44" i="5"/>
  <c r="S44" i="5"/>
  <c r="I47" i="5"/>
  <c r="C47" i="5"/>
  <c r="O47" i="5"/>
  <c r="I43" i="5"/>
  <c r="C43" i="5"/>
  <c r="O43" i="5"/>
  <c r="J55" i="5"/>
  <c r="D55" i="5"/>
  <c r="P55" i="5"/>
  <c r="J46" i="5"/>
  <c r="D46" i="5"/>
  <c r="P46" i="5"/>
  <c r="M56" i="5"/>
  <c r="S56" i="5"/>
  <c r="I18" i="5"/>
  <c r="C18" i="5"/>
  <c r="O18" i="5"/>
  <c r="M24" i="5"/>
  <c r="S24" i="5"/>
  <c r="M27" i="5"/>
  <c r="S27" i="5"/>
  <c r="L33" i="5"/>
  <c r="R33" i="5"/>
  <c r="J36" i="5"/>
  <c r="J38" i="5"/>
  <c r="K43" i="5"/>
  <c r="E43" i="5"/>
  <c r="Q43" i="5"/>
  <c r="I46" i="5"/>
  <c r="C46" i="5"/>
  <c r="O46" i="5"/>
  <c r="I51" i="5"/>
  <c r="C51" i="5"/>
  <c r="O51" i="5"/>
  <c r="I53" i="5"/>
  <c r="C53" i="5"/>
  <c r="O53" i="5"/>
  <c r="K55" i="5"/>
  <c r="E55" i="5"/>
  <c r="Q55" i="5"/>
  <c r="M6" i="5"/>
  <c r="N21" i="2"/>
  <c r="L6" i="5"/>
  <c r="F6" i="5"/>
  <c r="K8" i="5"/>
  <c r="K10" i="5"/>
  <c r="K18" i="5"/>
  <c r="E18" i="5"/>
  <c r="Q18" i="5"/>
  <c r="M11" i="5"/>
  <c r="K15" i="5"/>
  <c r="E15" i="5"/>
  <c r="Q15" i="5"/>
  <c r="J19" i="5"/>
  <c r="D19" i="5"/>
  <c r="P19" i="5"/>
  <c r="K26" i="5"/>
  <c r="E26" i="5"/>
  <c r="Q26" i="5"/>
  <c r="L29" i="5"/>
  <c r="L36" i="5"/>
  <c r="R36" i="5"/>
  <c r="L46" i="5"/>
  <c r="F46" i="5"/>
  <c r="R46" i="5"/>
  <c r="I42" i="5"/>
  <c r="C42" i="5"/>
  <c r="O42" i="5"/>
  <c r="M51" i="5"/>
  <c r="S51" i="5"/>
  <c r="K7" i="5"/>
  <c r="J18" i="5"/>
  <c r="D18" i="5"/>
  <c r="P18" i="5"/>
  <c r="I25" i="5"/>
  <c r="C25" i="5"/>
  <c r="O25" i="5"/>
  <c r="I28" i="5"/>
  <c r="C28" i="5"/>
  <c r="O28" i="5"/>
  <c r="M34" i="5"/>
  <c r="S34" i="5"/>
  <c r="I37" i="5"/>
  <c r="C37" i="5"/>
  <c r="O37" i="5"/>
  <c r="M42" i="5"/>
  <c r="S42" i="5"/>
  <c r="L44" i="5"/>
  <c r="F44" i="5"/>
  <c r="R44" i="5"/>
  <c r="K46" i="5"/>
  <c r="E46" i="5"/>
  <c r="Q46" i="5"/>
  <c r="L51" i="5"/>
  <c r="R51" i="5"/>
  <c r="M54" i="5"/>
  <c r="S54" i="5"/>
  <c r="I56" i="5"/>
  <c r="C56" i="5"/>
  <c r="O56" i="5"/>
  <c r="L7" i="5"/>
  <c r="J24" i="5"/>
  <c r="D24" i="5"/>
  <c r="P24" i="5"/>
  <c r="K16" i="5"/>
  <c r="E16" i="5"/>
  <c r="Q16" i="5"/>
  <c r="J26" i="5"/>
  <c r="D26" i="5"/>
  <c r="P26" i="5"/>
  <c r="K36" i="5"/>
  <c r="E36" i="5"/>
  <c r="Q36" i="5"/>
  <c r="K51" i="5"/>
  <c r="E51" i="5"/>
  <c r="Q51" i="5"/>
  <c r="I45" i="5"/>
  <c r="C45" i="5"/>
  <c r="O45" i="5"/>
  <c r="K54" i="5"/>
  <c r="E54" i="5"/>
  <c r="Q54" i="5"/>
  <c r="I20" i="5"/>
  <c r="C20" i="5"/>
  <c r="O20" i="5"/>
  <c r="L26" i="5"/>
  <c r="M36" i="5"/>
  <c r="S36" i="5"/>
  <c r="L38" i="5"/>
  <c r="L45" i="5"/>
  <c r="F45" i="5"/>
  <c r="R45" i="5"/>
  <c r="J47" i="5"/>
  <c r="D47" i="5"/>
  <c r="P47" i="5"/>
  <c r="J54" i="5"/>
  <c r="D54" i="5"/>
  <c r="P54" i="5"/>
  <c r="O21" i="2"/>
  <c r="M21" i="2"/>
  <c r="F9" i="5"/>
  <c r="K19" i="6"/>
  <c r="P21" i="2"/>
  <c r="P22" i="2"/>
  <c r="G9" i="5"/>
  <c r="N19" i="6"/>
  <c r="F7" i="5"/>
  <c r="R7" i="5"/>
  <c r="G7" i="5"/>
  <c r="S7" i="5"/>
  <c r="S16" i="5"/>
  <c r="N35" i="6"/>
  <c r="R15" i="5"/>
  <c r="K35" i="6"/>
  <c r="F38" i="5"/>
  <c r="K6" i="6"/>
  <c r="F26" i="5"/>
  <c r="K29" i="6"/>
  <c r="F29" i="5"/>
  <c r="K5" i="6"/>
  <c r="D38" i="5"/>
  <c r="P38" i="5"/>
  <c r="D36" i="5"/>
  <c r="P36" i="5"/>
  <c r="F37" i="5"/>
  <c r="K14" i="6"/>
  <c r="F35" i="5"/>
  <c r="K30" i="6"/>
  <c r="F28" i="5"/>
  <c r="K13" i="6"/>
  <c r="D37" i="5"/>
  <c r="P37" i="5"/>
  <c r="D34" i="5"/>
  <c r="P34" i="5"/>
  <c r="D35" i="5"/>
  <c r="P35" i="5"/>
  <c r="D33" i="5"/>
  <c r="P33" i="5"/>
  <c r="G22" i="2"/>
  <c r="G23" i="2"/>
  <c r="H22" i="2"/>
  <c r="H23" i="2"/>
  <c r="I22" i="2"/>
  <c r="I23" i="2"/>
  <c r="J22" i="2"/>
  <c r="J23" i="2"/>
  <c r="F22" i="2"/>
  <c r="F23" i="2"/>
  <c r="M22" i="2"/>
  <c r="M23" i="2"/>
  <c r="E22" i="2"/>
  <c r="E23" i="2"/>
  <c r="O22" i="2"/>
  <c r="O23" i="2"/>
  <c r="N22" i="2"/>
  <c r="N23" i="2"/>
  <c r="L22" i="2"/>
  <c r="L23" i="2"/>
  <c r="K22" i="2"/>
  <c r="K23" i="2"/>
  <c r="E7" i="5"/>
  <c r="Q7" i="5"/>
  <c r="G11" i="5"/>
  <c r="S11" i="5"/>
  <c r="E10" i="5"/>
  <c r="Q10" i="5"/>
  <c r="E8" i="5"/>
  <c r="Q8" i="5"/>
  <c r="E9" i="5"/>
  <c r="Q9" i="5"/>
  <c r="F11" i="5"/>
  <c r="R11" i="5"/>
  <c r="F10" i="5"/>
  <c r="R10" i="5"/>
  <c r="F8" i="5"/>
  <c r="R8" i="5"/>
  <c r="D11" i="5"/>
  <c r="P11" i="5"/>
  <c r="D10" i="5"/>
  <c r="P10" i="5"/>
  <c r="C9" i="5"/>
  <c r="O9" i="5"/>
  <c r="C8" i="5"/>
  <c r="O8" i="5"/>
  <c r="C7" i="5"/>
  <c r="O7" i="5"/>
  <c r="D7" i="5"/>
  <c r="P7" i="5"/>
  <c r="D8" i="5"/>
  <c r="P8" i="5"/>
  <c r="C10" i="5"/>
  <c r="O10" i="5"/>
  <c r="G10" i="5"/>
  <c r="S10" i="5"/>
  <c r="N7" i="6"/>
  <c r="K23" i="6"/>
  <c r="K7" i="6"/>
  <c r="K15" i="6"/>
  <c r="N31" i="6"/>
  <c r="N15" i="6"/>
  <c r="K31" i="6"/>
  <c r="K39" i="6"/>
  <c r="K20" i="6"/>
  <c r="N36" i="6"/>
  <c r="N20" i="6"/>
  <c r="K36" i="6"/>
  <c r="P6" i="5"/>
  <c r="Q6" i="5"/>
  <c r="R6" i="5"/>
  <c r="S8" i="5"/>
  <c r="S6" i="5"/>
  <c r="O6" i="5"/>
  <c r="E44" i="6"/>
  <c r="E4" i="6"/>
  <c r="B7" i="6"/>
  <c r="H4" i="6"/>
  <c r="B27" i="6"/>
  <c r="H23" i="6"/>
  <c r="B48" i="6"/>
  <c r="B47" i="6"/>
  <c r="B8" i="6"/>
  <c r="H40" i="6"/>
  <c r="E3" i="6"/>
  <c r="K43" i="6"/>
  <c r="E43" i="6"/>
  <c r="B32" i="6"/>
  <c r="E8" i="6"/>
  <c r="H7" i="6"/>
  <c r="B37" i="6"/>
  <c r="H44" i="6"/>
  <c r="E19" i="6"/>
  <c r="B16" i="6"/>
  <c r="E13" i="6"/>
  <c r="H38" i="6"/>
  <c r="E6" i="6"/>
  <c r="B23" i="6"/>
  <c r="H15" i="6"/>
  <c r="E23" i="6"/>
  <c r="B22" i="6"/>
  <c r="E38" i="6"/>
  <c r="E32" i="6"/>
  <c r="K12" i="6"/>
  <c r="H27" i="6"/>
  <c r="B5" i="6"/>
  <c r="H22" i="6"/>
  <c r="H30" i="6"/>
  <c r="B39" i="6"/>
  <c r="B35" i="6"/>
  <c r="H35" i="6"/>
  <c r="B40" i="6"/>
  <c r="B31" i="6"/>
  <c r="E11" i="6"/>
  <c r="H31" i="6"/>
  <c r="B38" i="6"/>
  <c r="K4" i="6"/>
  <c r="E30" i="6"/>
  <c r="H28" i="6"/>
  <c r="E31" i="6"/>
  <c r="B3" i="6"/>
  <c r="E39" i="6"/>
  <c r="B19" i="6"/>
  <c r="H39" i="6"/>
  <c r="H3" i="6"/>
  <c r="B45" i="6"/>
  <c r="H32" i="6"/>
  <c r="B14" i="6"/>
  <c r="E46" i="6"/>
  <c r="H46" i="6"/>
  <c r="H6" i="6"/>
  <c r="B15" i="6"/>
  <c r="E47" i="6"/>
  <c r="E48" i="6"/>
  <c r="H24" i="6"/>
  <c r="B24" i="6"/>
  <c r="E37" i="6"/>
  <c r="E16" i="6"/>
  <c r="H37" i="6"/>
  <c r="E24" i="6"/>
  <c r="H45" i="6"/>
  <c r="H47" i="6"/>
  <c r="H48" i="6"/>
  <c r="K3" i="6"/>
  <c r="E5" i="6"/>
  <c r="E40" i="6"/>
  <c r="B6" i="6"/>
  <c r="B21" i="6"/>
  <c r="E22" i="6"/>
  <c r="E45" i="6"/>
  <c r="E29" i="6"/>
  <c r="H29" i="6"/>
  <c r="E15" i="6"/>
  <c r="B29" i="6"/>
  <c r="H5" i="6"/>
  <c r="H36" i="6"/>
  <c r="B28" i="6"/>
  <c r="H14" i="6"/>
  <c r="B12" i="6"/>
  <c r="B36" i="6"/>
  <c r="E20" i="6"/>
  <c r="H12" i="6"/>
  <c r="B43" i="6"/>
  <c r="E27" i="6"/>
  <c r="N27" i="6"/>
  <c r="K28" i="6"/>
  <c r="H20" i="6"/>
  <c r="H13" i="6"/>
  <c r="K11" i="6"/>
  <c r="H11" i="6"/>
  <c r="B4" i="6"/>
  <c r="B20" i="6"/>
  <c r="E36" i="6"/>
  <c r="B11" i="6"/>
  <c r="E35" i="6"/>
  <c r="H43" i="6"/>
  <c r="E28" i="6"/>
  <c r="E7" i="6"/>
  <c r="B30" i="6"/>
  <c r="N4" i="6"/>
  <c r="H19" i="6"/>
  <c r="B13" i="6"/>
  <c r="H8" i="6"/>
  <c r="H16" i="6"/>
  <c r="N3" i="6"/>
  <c r="B46" i="6"/>
  <c r="N11" i="6"/>
  <c r="E14" i="6"/>
  <c r="N28" i="6"/>
  <c r="K27" i="6"/>
  <c r="K44" i="6"/>
  <c r="N12" i="6"/>
  <c r="B44" i="6"/>
  <c r="E12" i="6"/>
  <c r="E21" i="6"/>
  <c r="H21" i="6"/>
  <c r="D23" i="2"/>
  <c r="D22" i="2"/>
  <c r="R9" i="5"/>
  <c r="S9" i="5"/>
  <c r="R28" i="5"/>
  <c r="R35" i="5"/>
  <c r="R37" i="5"/>
  <c r="R29" i="5"/>
  <c r="R26" i="5"/>
  <c r="R3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Beth Gundersen</author>
    <author>247pbrennan</author>
  </authors>
  <commentList>
    <comment ref="L7" authorId="0" shapeId="0" xr:uid="{CDCA7B0A-BD7B-42E2-875D-B41D9932C37F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3792</t>
        </r>
      </text>
    </comment>
    <comment ref="L8" authorId="0" shapeId="0" xr:uid="{6D02F59E-0072-4F2E-BCA5-849CA6F31738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2891</t>
        </r>
      </text>
    </comment>
    <comment ref="D9" authorId="0" shapeId="0" xr:uid="{44D11FED-6E63-4A5F-90C2-328616BF45FA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4929</t>
        </r>
      </text>
    </comment>
    <comment ref="N9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Based on the crew-day capacity.</t>
        </r>
      </text>
    </comment>
    <comment ref="D10" authorId="0" shapeId="0" xr:uid="{8495B7CF-FA21-4267-9C4B-436DD22E8E46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344</t>
        </r>
      </text>
    </comment>
    <comment ref="D14" authorId="0" shapeId="0" xr:uid="{E04CA8D6-4657-4FCE-AC87-A3A5BB69DDE0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156000</t>
        </r>
      </text>
    </comment>
    <comment ref="E14" authorId="0" shapeId="0" xr:uid="{173EA500-FBF4-461D-BA2C-522B8FCEF6F9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98000</t>
        </r>
      </text>
    </comment>
    <comment ref="F14" authorId="0" shapeId="0" xr:uid="{82789138-7AD8-41CD-8337-518A834E434B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84000</t>
        </r>
      </text>
    </comment>
    <comment ref="G14" authorId="0" shapeId="0" xr:uid="{F9F193EF-F62A-4349-B1AA-849466354959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119000</t>
        </r>
      </text>
    </comment>
    <comment ref="H14" authorId="0" shapeId="0" xr:uid="{1F9408C2-3CC7-4EBD-8D37-53BCAD8DD68E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192500</t>
        </r>
      </text>
    </comment>
    <comment ref="I14" authorId="0" shapeId="0" xr:uid="{D811B662-226C-4B9B-ADBB-1B54F8C03D57}">
      <text>
        <r>
          <rPr>
            <b/>
            <sz val="9"/>
            <color indexed="81"/>
            <rFont val="Tahoma"/>
            <family val="2"/>
          </rPr>
          <t>Beth Gundersen:</t>
        </r>
        <r>
          <rPr>
            <sz val="9"/>
            <color indexed="81"/>
            <rFont val="Tahoma"/>
            <family val="2"/>
          </rPr>
          <t xml:space="preserve">
210,000</t>
        </r>
      </text>
    </comment>
    <comment ref="J14" authorId="0" shapeId="0" xr:uid="{76DF3252-25FE-41C4-B0F7-FA58A9B348BB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196,000</t>
        </r>
      </text>
    </comment>
    <comment ref="D15" authorId="0" shapeId="0" xr:uid="{772BC8C1-3E24-4B87-AF1C-03311D9B4F79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70200</t>
        </r>
      </text>
    </comment>
    <comment ref="E15" authorId="0" shapeId="0" xr:uid="{F6197FA8-1C3C-4A16-9FCF-44495EA4D0C3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44100</t>
        </r>
      </text>
    </comment>
    <comment ref="F15" authorId="0" shapeId="0" xr:uid="{FF430C55-AE1A-43B2-8429-6B02CC8F0147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37800</t>
        </r>
      </text>
    </comment>
    <comment ref="G15" authorId="0" shapeId="0" xr:uid="{99B858D8-7321-454A-8D6B-1B9424D942D0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53550</t>
        </r>
      </text>
    </comment>
    <comment ref="H15" authorId="0" shapeId="0" xr:uid="{E3F9CF03-0E18-444F-A793-C9FA7ECDBCFD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86625</t>
        </r>
      </text>
    </comment>
    <comment ref="I15" authorId="0" shapeId="0" xr:uid="{E3026B17-BADE-4FB6-A651-846B292BD664}">
      <text>
        <r>
          <rPr>
            <b/>
            <sz val="9"/>
            <color indexed="81"/>
            <rFont val="Tahoma"/>
            <family val="2"/>
          </rPr>
          <t>Beth Gundersen:</t>
        </r>
        <r>
          <rPr>
            <sz val="9"/>
            <color indexed="81"/>
            <rFont val="Tahoma"/>
            <family val="2"/>
          </rPr>
          <t xml:space="preserve">
94500</t>
        </r>
      </text>
    </comment>
    <comment ref="D16" authorId="0" shapeId="0" xr:uid="{164A74E2-6F6C-4D45-89D2-C387CE1B59B9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41184</t>
        </r>
      </text>
    </comment>
    <comment ref="E16" authorId="0" shapeId="0" xr:uid="{5EC0AF96-4A0E-413E-94E5-7EB7A10EA9B3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25872</t>
        </r>
      </text>
    </comment>
    <comment ref="F16" authorId="0" shapeId="0" xr:uid="{A3D747EC-69CE-463D-A49D-07CEF05D257C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22176</t>
        </r>
      </text>
    </comment>
    <comment ref="G16" authorId="0" shapeId="0" xr:uid="{CD4F7C6F-F3C1-4EE8-B0BE-16E505DD7AEB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31416</t>
        </r>
      </text>
    </comment>
    <comment ref="H16" authorId="0" shapeId="0" xr:uid="{DE44AE9A-5F1E-4C22-ABE1-AA6B3B5190CB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50820</t>
        </r>
      </text>
    </comment>
    <comment ref="I16" authorId="0" shapeId="0" xr:uid="{6ABA185B-48F8-478D-B3D7-B245E8CD40A1}">
      <text>
        <r>
          <rPr>
            <b/>
            <sz val="9"/>
            <color indexed="81"/>
            <rFont val="Tahoma"/>
            <family val="2"/>
          </rPr>
          <t>Beth Gundersen:</t>
        </r>
        <r>
          <rPr>
            <sz val="9"/>
            <color indexed="81"/>
            <rFont val="Tahoma"/>
            <family val="2"/>
          </rPr>
          <t xml:space="preserve">
55440</t>
        </r>
      </text>
    </comment>
    <comment ref="D17" authorId="0" shapeId="0" xr:uid="{7518F3FE-9FA3-44E2-B3AF-897A9ADCEDD0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29016</t>
        </r>
      </text>
    </comment>
    <comment ref="E17" authorId="0" shapeId="0" xr:uid="{BFA0E17D-B967-44E1-A4B0-4C95C8E1449D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18228</t>
        </r>
      </text>
    </comment>
    <comment ref="F17" authorId="0" shapeId="0" xr:uid="{1D6C1BE7-B88F-4EEF-86B0-ED388DA375CE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15624</t>
        </r>
      </text>
    </comment>
    <comment ref="G17" authorId="0" shapeId="0" xr:uid="{F4FA9742-0C8E-4D45-9B86-9D435FDFD85A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22134</t>
        </r>
      </text>
    </comment>
    <comment ref="H17" authorId="0" shapeId="0" xr:uid="{FBA4A0D7-637A-450E-A8C5-A186A6570281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35805</t>
        </r>
      </text>
    </comment>
    <comment ref="I17" authorId="0" shapeId="0" xr:uid="{D5D5AF89-BC14-483F-9461-000C4B9BFD51}">
      <text>
        <r>
          <rPr>
            <b/>
            <sz val="9"/>
            <color indexed="81"/>
            <rFont val="Tahoma"/>
            <family val="2"/>
          </rPr>
          <t>Beth Gundersen:</t>
        </r>
        <r>
          <rPr>
            <sz val="9"/>
            <color indexed="81"/>
            <rFont val="Tahoma"/>
            <family val="2"/>
          </rPr>
          <t xml:space="preserve">
39060</t>
        </r>
      </text>
    </comment>
    <comment ref="D21" authorId="0" shapeId="0" xr:uid="{2969E7D0-ED3A-46C1-A49F-1E208B644B27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19</t>
        </r>
      </text>
    </comment>
    <comment ref="E21" authorId="0" shapeId="0" xr:uid="{BC1DC1DB-6059-4555-AC95-E44818557BD5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12</t>
        </r>
      </text>
    </comment>
    <comment ref="F21" authorId="0" shapeId="0" xr:uid="{47C678D4-A3FD-41FD-B36E-C5382FFFFCF2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10</t>
        </r>
      </text>
    </comment>
    <comment ref="G21" authorId="0" shapeId="0" xr:uid="{F71E2E6A-9C16-45C3-8E58-972192205369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16</t>
        </r>
      </text>
    </comment>
    <comment ref="H21" authorId="0" shapeId="0" xr:uid="{B4575D31-4133-4811-96FE-B5ECEBB3122C}">
      <text>
        <r>
          <rPr>
            <b/>
            <sz val="9"/>
            <color indexed="81"/>
            <rFont val="Tahoma"/>
            <charset val="1"/>
          </rPr>
          <t>Beth Gundersen:</t>
        </r>
        <r>
          <rPr>
            <sz val="9"/>
            <color indexed="81"/>
            <rFont val="Tahoma"/>
            <charset val="1"/>
          </rPr>
          <t xml:space="preserve">
23</t>
        </r>
      </text>
    </comment>
    <comment ref="I21" authorId="0" shapeId="0" xr:uid="{31978D59-D919-4A13-9A43-61B77072ECF9}">
      <text>
        <r>
          <rPr>
            <b/>
            <sz val="9"/>
            <color indexed="81"/>
            <rFont val="Tahoma"/>
            <family val="2"/>
          </rPr>
          <t>Beth Gundersen:</t>
        </r>
        <r>
          <rPr>
            <sz val="9"/>
            <color indexed="81"/>
            <rFont val="Tahoma"/>
            <family val="2"/>
          </rPr>
          <t xml:space="preserve">
25</t>
        </r>
      </text>
    </comment>
    <comment ref="J21" authorId="0" shapeId="0" xr:uid="{E4968AE7-E0CB-40B6-97F8-9D63E05CF32E}">
      <text>
        <r>
          <rPr>
            <b/>
            <sz val="9"/>
            <color indexed="81"/>
            <rFont val="Tahoma"/>
            <family val="2"/>
          </rPr>
          <t>Beth Gundersen:</t>
        </r>
        <r>
          <rPr>
            <sz val="9"/>
            <color indexed="81"/>
            <rFont val="Tahoma"/>
            <family val="2"/>
          </rPr>
          <t xml:space="preserve">
24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gary elekes</author>
  </authors>
  <commentList>
    <comment ref="F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Includes IAQ Accessories
The Added Extended Warranty
The Longer Warranty if Added 11-16
2 Year Guarantee
Hotel Guarantee
The Reserve for USA in Years $80.00 cost per year</t>
        </r>
      </text>
    </comment>
    <comment ref="K6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Service Agreement reserve $80
extended Warranty $ 200
</t>
        </r>
      </text>
    </comment>
    <comment ref="P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Includes IAQ Accessories
The Added Extended Warranty
The Longer Warranty if Added 11-16
2 Year Guarantee
Hotel Guarantee
The Reserve for USA in Years $80.00 cost per year</t>
        </r>
      </text>
    </comment>
    <comment ref="U6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Includes IAQ Accessories
The Added Extended Warranty
The Longer Warranty if Added 11-16
2 Year Guarantee
Hotel Guarantee
The Reserve for USA in Years $80.00 cost per year</t>
        </r>
      </text>
    </comment>
    <comment ref="Z6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Includes IAQ Accessories
The Added Extended Warranty
The Longer Warranty if Added 11-16
2 Year Guarantee
Hotel Guarantee
The Reserve for USA in Years $80.00 cost per year</t>
        </r>
      </text>
    </comment>
    <comment ref="P7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2 Year US (2 * 80) = 160
Ext Warranty = $300</t>
        </r>
      </text>
    </comment>
    <comment ref="U7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3 years S/a (3 * 80) 240
Ext Warranty $300</t>
        </r>
      </text>
    </comment>
    <comment ref="Z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5 Year Service Agreement (5*80)400
10 Year parts Labor Extended Warranty $300
200 ext warranty 11-16
  </t>
        </r>
      </text>
    </comment>
    <comment ref="P21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400 extended warranty
80 for each year of USA
480 Total</t>
        </r>
      </text>
    </comment>
    <comment ref="U23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400 extended warranty
240 for each year of USA
640
0 Total</t>
        </r>
      </text>
    </comment>
    <comment ref="U30" authorId="0" shapeId="0" xr:uid="{00000000-0006-0000-0200-00000B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400 extended warranty
240 for each year of USA
640
0 Total</t>
        </r>
      </text>
    </comment>
    <comment ref="U35" authorId="0" shapeId="0" xr:uid="{00000000-0006-0000-0200-00000C000000}">
      <text>
        <r>
          <rPr>
            <b/>
            <sz val="9"/>
            <color indexed="81"/>
            <rFont val="Tahoma"/>
            <family val="2"/>
          </rPr>
          <t>gary elekes:</t>
        </r>
        <r>
          <rPr>
            <sz val="9"/>
            <color indexed="81"/>
            <rFont val="Tahoma"/>
            <family val="2"/>
          </rPr>
          <t xml:space="preserve">
3 years S/a (3 * 80) 240
Ext Warranty $200</t>
        </r>
      </text>
    </comment>
  </commentList>
</comments>
</file>

<file path=xl/sharedStrings.xml><?xml version="1.0" encoding="utf-8"?>
<sst xmlns="http://schemas.openxmlformats.org/spreadsheetml/2006/main" count="558" uniqueCount="176">
  <si>
    <t>STEP 1:</t>
  </si>
  <si>
    <t>Fill out your profit plan for the replacement department &amp; your production variables</t>
  </si>
  <si>
    <t># of Average Crews</t>
  </si>
  <si>
    <t>Avg. Daily # Crews:</t>
  </si>
  <si>
    <t xml:space="preserve">        Enter the average number, not the max or min</t>
  </si>
  <si>
    <t>MIX:</t>
  </si>
  <si>
    <t>SYSTEMS:</t>
  </si>
  <si>
    <t>Total Capacity-Days:</t>
  </si>
  <si>
    <t xml:space="preserve">        Based on 50 weeks, 5 days per week 6 holidays  (Saturdays are free)</t>
  </si>
  <si>
    <t>Split Systems:</t>
  </si>
  <si>
    <t>Total Crew-Days Capacity:</t>
  </si>
  <si>
    <t>If you want to add Saturdays you work</t>
  </si>
  <si>
    <t>Package Systems:</t>
  </si>
  <si>
    <t xml:space="preserve">            Installation of 2 package systems / day</t>
  </si>
  <si>
    <t>Total:</t>
  </si>
  <si>
    <t xml:space="preserve">            This is your capacity, in # of systems</t>
  </si>
  <si>
    <t>Target Actual Capacity:</t>
  </si>
  <si>
    <t xml:space="preserve">        Target number of actual crew-days filled</t>
  </si>
  <si>
    <t>Target GP$ / System:</t>
  </si>
  <si>
    <t xml:space="preserve">                               Min. average GP$ per system to achieve profit plan @ target capacity</t>
  </si>
  <si>
    <t>Target Actual Crew-Days:</t>
  </si>
  <si>
    <t>Sold Jobs needed per month</t>
  </si>
  <si>
    <t>Overhead per Crew Day is</t>
  </si>
  <si>
    <t>Target GP$ / Crew-Day:</t>
  </si>
  <si>
    <t>Days Gone Unsold</t>
  </si>
  <si>
    <t>Target Close Rate:</t>
  </si>
  <si>
    <t>Per Month:</t>
  </si>
  <si>
    <t>Per Day:</t>
  </si>
  <si>
    <t>Installation Labor Rate:</t>
  </si>
  <si>
    <t xml:space="preserve">        Use this labor rate to price accessories w/systems</t>
  </si>
  <si>
    <t>Required Ran Leads:</t>
  </si>
  <si>
    <t>AOR Profit Plan</t>
  </si>
  <si>
    <t>Jan</t>
  </si>
  <si>
    <t>Feb</t>
  </si>
  <si>
    <t>March</t>
  </si>
  <si>
    <t>April</t>
  </si>
  <si>
    <t>May</t>
  </si>
  <si>
    <t>June</t>
  </si>
  <si>
    <t>July</t>
  </si>
  <si>
    <t>August</t>
  </si>
  <si>
    <t>Sept</t>
  </si>
  <si>
    <t>Oct</t>
  </si>
  <si>
    <t>Nov</t>
  </si>
  <si>
    <t>Dec</t>
  </si>
  <si>
    <t>Total</t>
  </si>
  <si>
    <t>Budgeted Revenue:</t>
  </si>
  <si>
    <t>Combined AOR and Service Selling from Budget</t>
  </si>
  <si>
    <t>Gross Profit:</t>
  </si>
  <si>
    <t>Overhead:</t>
  </si>
  <si>
    <t>EBITA:</t>
  </si>
  <si>
    <t>Req'd GP$:</t>
  </si>
  <si>
    <t># Systems</t>
  </si>
  <si>
    <t>Req'd Leads Ran</t>
  </si>
  <si>
    <t>Installs per Work Days Month</t>
  </si>
  <si>
    <t>Enter local sales tax rate:</t>
  </si>
  <si>
    <t>Enter max commission rate:</t>
  </si>
  <si>
    <t>Enter max financing discount rate:</t>
  </si>
  <si>
    <t>Enter Your Budget Figures</t>
  </si>
  <si>
    <t>STEP 2:</t>
  </si>
  <si>
    <t>Fill out the various costs associated with an HVAC installation in column "B" and define units used in "D thru P"</t>
  </si>
  <si>
    <t>Local Tax Rate</t>
  </si>
  <si>
    <t>Value Commission</t>
  </si>
  <si>
    <t>Max Commission Rate</t>
  </si>
  <si>
    <t>Financing Discount</t>
  </si>
  <si>
    <t>5*, 5*+</t>
  </si>
  <si>
    <t>COST</t>
  </si>
  <si>
    <t>SPLIT-GAS</t>
  </si>
  <si>
    <t>SPLIT-HP</t>
  </si>
  <si>
    <t>PACKAGE-GAS</t>
  </si>
  <si>
    <t>PACKAGE-HP</t>
  </si>
  <si>
    <t>COND-COIL</t>
  </si>
  <si>
    <t>FURNACE ONLY</t>
  </si>
  <si>
    <t>ADD_ONS</t>
  </si>
  <si>
    <t>PVC Pipe</t>
  </si>
  <si>
    <t>90's</t>
  </si>
  <si>
    <t>45's</t>
  </si>
  <si>
    <t>Tubes Silicon</t>
  </si>
  <si>
    <t>Roll Metal Tape</t>
  </si>
  <si>
    <t>Iso Pads</t>
  </si>
  <si>
    <t>Primer/Glue</t>
  </si>
  <si>
    <t>60A Disconnect</t>
  </si>
  <si>
    <t>Fuses</t>
  </si>
  <si>
    <t>6' Whip</t>
  </si>
  <si>
    <t>Ground Wire</t>
  </si>
  <si>
    <t>T'stat Wire</t>
  </si>
  <si>
    <t>Wire Nuts/Tape</t>
  </si>
  <si>
    <t>Seal Tight</t>
  </si>
  <si>
    <t>Misc</t>
  </si>
  <si>
    <t>Flue Pipe &amp; Fittings</t>
  </si>
  <si>
    <t>Gas / Elect. Misc</t>
  </si>
  <si>
    <t>Permits 1</t>
  </si>
  <si>
    <t>SF Liner</t>
  </si>
  <si>
    <t>Angle Iron</t>
  </si>
  <si>
    <t>Welding Supplies</t>
  </si>
  <si>
    <t>Ft. Flex Connection</t>
  </si>
  <si>
    <t>S/Drives</t>
  </si>
  <si>
    <t>Safety Switch</t>
  </si>
  <si>
    <t>Tech Lead Turnovers</t>
  </si>
  <si>
    <t>Thermostat</t>
  </si>
  <si>
    <t>1/2 Sheet Metal/Board</t>
  </si>
  <si>
    <t>Refrigerant</t>
  </si>
  <si>
    <t>Copper Feet Miscellaneous-Fittings</t>
  </si>
  <si>
    <t>******Line Set</t>
  </si>
  <si>
    <t>Plumbing Water Line</t>
  </si>
  <si>
    <t>Truss Repair</t>
  </si>
  <si>
    <t>MATERIALS</t>
  </si>
  <si>
    <t>Sheet Metal Sub</t>
  </si>
  <si>
    <t>Sheet Metal Fab</t>
  </si>
  <si>
    <t>Crane/Set</t>
  </si>
  <si>
    <t>Roofing Repair</t>
  </si>
  <si>
    <t>SUBS</t>
  </si>
  <si>
    <t>Warranty Reserve</t>
  </si>
  <si>
    <t>Permit Re-Inspection</t>
  </si>
  <si>
    <t>Financing Standard</t>
  </si>
  <si>
    <t>Rebate-Promotions Std</t>
  </si>
  <si>
    <t>Drywall / Repair</t>
  </si>
  <si>
    <t>OTHER</t>
  </si>
  <si>
    <t>Labor Costs (Burden):</t>
  </si>
  <si>
    <t>Sheet Metal Fab:</t>
  </si>
  <si>
    <t>Install Labor-Hours:</t>
  </si>
  <si>
    <t>LABOR</t>
  </si>
  <si>
    <t>Sub-Total Costs:</t>
  </si>
  <si>
    <t>STEP 3:</t>
  </si>
  <si>
    <t>Fill in the brand name, models, warranties, Service agreement freebies, equipment costs before tax, for each system by application (heat pumps, splits, packaged)</t>
  </si>
  <si>
    <t>Value - Goodman 13 SEER R410A 80% single Stage Furnace</t>
  </si>
  <si>
    <t>Prestige-AMANA 43 SEER R410A 80% Multi Speed 2 Stage Valve</t>
  </si>
  <si>
    <t>Supreme 16 SEER Single Stage 80% 2 Stage Valve</t>
  </si>
  <si>
    <t>Optimum 16 SEER 2 Stage Variable Speed 80% 2 Stage Valve</t>
  </si>
  <si>
    <t>The Ultimate 17 SEER 2 Stage 80% Variable Speed ECM w/2 Stage</t>
  </si>
  <si>
    <t>The Value Line</t>
  </si>
  <si>
    <t>The Prestige</t>
  </si>
  <si>
    <t>The Supreme</t>
  </si>
  <si>
    <t>The Optimum</t>
  </si>
  <si>
    <t>The Ultimate</t>
  </si>
  <si>
    <t>WARRANTIES:</t>
  </si>
  <si>
    <t>Parts</t>
  </si>
  <si>
    <t>Labor</t>
  </si>
  <si>
    <t>Heat Exch</t>
  </si>
  <si>
    <t>Compressor</t>
  </si>
  <si>
    <t>USA</t>
  </si>
  <si>
    <t>LENGTH (Yrs):</t>
  </si>
  <si>
    <t>LIFETIME</t>
  </si>
  <si>
    <t>LIFE</t>
  </si>
  <si>
    <t>SPLIT_GAS</t>
  </si>
  <si>
    <t>Condenser</t>
  </si>
  <si>
    <t>Furnace/AH</t>
  </si>
  <si>
    <t>Coil / Strips</t>
  </si>
  <si>
    <t>IAQ / Other</t>
  </si>
  <si>
    <t>SPLIT_HP</t>
  </si>
  <si>
    <t xml:space="preserve"> </t>
  </si>
  <si>
    <t>PACKAGE_GAS</t>
  </si>
  <si>
    <t>PACKAGE_HP</t>
  </si>
  <si>
    <t>COND_COIL</t>
  </si>
  <si>
    <t>FURNACE</t>
  </si>
  <si>
    <t>STEP 4:</t>
  </si>
  <si>
    <t>Review the pricing &amp; make manual adjustments in the "GP$ adjustment" section, if necessary and adjust discounts built in and commission in row 2</t>
  </si>
  <si>
    <t>Commission:</t>
  </si>
  <si>
    <t>Built-in Discount:</t>
  </si>
  <si>
    <t>PRICE</t>
  </si>
  <si>
    <t>GROSS PROFIT $</t>
  </si>
  <si>
    <t>GROSS MARGIN %</t>
  </si>
  <si>
    <t>GROSS PROFIT Crew Day adder as an $ ADJUSTMENT from Labor Rate Target</t>
  </si>
  <si>
    <t>N/A</t>
  </si>
  <si>
    <t>GROSS PROFIT Crew Day adder as an $ ADJUSTMENT</t>
  </si>
  <si>
    <t>Value</t>
  </si>
  <si>
    <t>Breakeven</t>
  </si>
  <si>
    <t>Prestige</t>
  </si>
  <si>
    <t>Supreme</t>
  </si>
  <si>
    <t>Optimum</t>
  </si>
  <si>
    <t>Ultimate</t>
  </si>
  <si>
    <t>Split A/C System &amp; Gas Furnace</t>
  </si>
  <si>
    <t>Split A/C System Heat Pump</t>
  </si>
  <si>
    <t>Packaged A/C with Gas Furnace</t>
  </si>
  <si>
    <t>Packaged A/C Heat Pump</t>
  </si>
  <si>
    <t>A/C Condenser &amp; Coil</t>
  </si>
  <si>
    <t>Gas Furnace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</si>
</sst>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"/>
    <numFmt numFmtId="166" formatCode="#,##0.0"/>
    <numFmt numFmtId="167" formatCode="0.0"/>
    <numFmt numFmtId="168" formatCode="&quot;$&quot;#,##0.00"/>
    <numFmt numFmtId="169" formatCode="_(&quot;$&quot;* #,##0_);_(&quot;$&quot;* \(#,##0\);_(&quot;$&quot;* &quot;-&quot;??_);_(@_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0"/>
      <color theme="1"/>
      <name val="Arial"/>
      <family val="2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rgb="FF404040"/>
      <name val="Arial"/>
      <family val="2"/>
    </font>
    <font>
      <b/>
      <sz val="11"/>
      <color rgb="FF404040"/>
      <name val="Arial"/>
      <family val="2"/>
    </font>
    <font>
      <sz val="9.5"/>
      <color rgb="FF404040"/>
      <name val="Arial"/>
      <family val="2"/>
    </font>
    <font>
      <sz val="11"/>
      <color rgb="FF404040"/>
      <name val="Arial"/>
      <family val="2"/>
    </font>
    <font>
      <b/>
      <sz val="9.5"/>
      <color rgb="FF0065C1"/>
      <name val="Arial"/>
      <family val="2"/>
    </font>
    <font>
      <sz val="9.5"/>
      <color rgb="FF0065C1"/>
      <name val="Calibri"/>
      <family val="2"/>
      <scheme val="minor"/>
    </font>
    <font>
      <sz val="11"/>
      <color rgb="FF0065C1"/>
      <name val="Calibri"/>
      <family val="2"/>
      <scheme val="minor"/>
    </font>
    <font>
      <sz val="11"/>
      <color theme="1"/>
      <name val="Arial"/>
      <family val="2"/>
    </font>
    <font>
      <b/>
      <sz val="9.5"/>
      <name val="Arial"/>
      <family val="2"/>
    </font>
    <font>
      <sz val="9.5"/>
      <color theme="1"/>
      <name val="Arial"/>
      <family val="2"/>
    </font>
    <font>
      <b/>
      <sz val="9.5"/>
      <color theme="1"/>
      <name val="Arial"/>
      <family val="2"/>
    </font>
    <font>
      <b/>
      <sz val="9.5"/>
      <color rgb="FFFF0000"/>
      <name val="Arial"/>
      <family val="2"/>
    </font>
    <font>
      <b/>
      <sz val="9.5"/>
      <color theme="0"/>
      <name val="Arial"/>
      <family val="2"/>
    </font>
    <font>
      <b/>
      <sz val="10"/>
      <color rgb="FF404040"/>
      <name val="Arial"/>
      <family val="2"/>
    </font>
    <font>
      <b/>
      <u/>
      <sz val="9.5"/>
      <color rgb="FF404040"/>
      <name val="Arial"/>
      <family val="2"/>
    </font>
    <font>
      <b/>
      <sz val="11"/>
      <color rgb="FF3C94DC"/>
      <name val="Arial"/>
      <family val="2"/>
    </font>
    <font>
      <b/>
      <sz val="12"/>
      <color rgb="FF3C94DC"/>
      <name val="Arial"/>
      <family val="2"/>
    </font>
    <font>
      <b/>
      <sz val="9.5"/>
      <color rgb="FF3C94DC"/>
      <name val="Arial"/>
      <family val="2"/>
    </font>
    <font>
      <sz val="9.5"/>
      <color theme="9" tint="-0.249977111117893"/>
      <name val="Arial"/>
      <family val="2"/>
    </font>
    <font>
      <sz val="11"/>
      <color theme="9" tint="-0.249977111117893"/>
      <name val="Arial"/>
      <family val="2"/>
    </font>
    <font>
      <b/>
      <sz val="9.5"/>
      <color theme="9" tint="-0.249977111117893"/>
      <name val="Arial"/>
      <family val="2"/>
    </font>
    <font>
      <b/>
      <sz val="10"/>
      <color theme="0"/>
      <name val="Arial"/>
      <family val="2"/>
    </font>
    <font>
      <sz val="9.5"/>
      <color theme="0"/>
      <name val="Arial"/>
      <family val="2"/>
    </font>
    <font>
      <sz val="9.5"/>
      <color rgb="FF0065C1"/>
      <name val="Arial"/>
      <family val="2"/>
    </font>
    <font>
      <b/>
      <sz val="11"/>
      <color theme="9" tint="-0.249977111117893"/>
      <name val="Arial"/>
      <family val="2"/>
    </font>
    <font>
      <sz val="9.5"/>
      <color rgb="FF3C94DC"/>
      <name val="Arial"/>
      <family val="2"/>
    </font>
    <font>
      <b/>
      <sz val="12"/>
      <color theme="9" tint="-0.249977111117893"/>
      <name val="Arial"/>
      <family val="2"/>
    </font>
    <font>
      <sz val="11"/>
      <color theme="9" tint="-0.249977111117893"/>
      <name val="Calibri"/>
      <family val="2"/>
      <scheme val="minor"/>
    </font>
    <font>
      <b/>
      <u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0"/>
      <color theme="0" tint="-4.9989318521683403E-2"/>
      <name val="Arial"/>
      <family val="2"/>
    </font>
    <font>
      <b/>
      <u/>
      <sz val="10"/>
      <color theme="0"/>
      <name val="Arial"/>
      <family val="2"/>
    </font>
    <font>
      <sz val="11"/>
      <color rgb="FF404040"/>
      <name val="Calibri"/>
      <family val="2"/>
      <scheme val="minor"/>
    </font>
    <font>
      <sz val="9.5"/>
      <color rgb="FF404040"/>
      <name val="Calibri"/>
      <family val="2"/>
      <scheme val="minor"/>
    </font>
    <font>
      <sz val="9.5"/>
      <color rgb="FF2566B1"/>
      <name val="Arial"/>
      <family val="2"/>
    </font>
    <font>
      <sz val="9.5"/>
      <color rgb="FFC00000"/>
      <name val="Arial"/>
      <family val="2"/>
    </font>
    <font>
      <sz val="9.5"/>
      <color rgb="FF0070C0"/>
      <name val="Arial"/>
      <family val="2"/>
    </font>
    <font>
      <b/>
      <sz val="11"/>
      <color theme="0"/>
      <name val="Arial"/>
      <family val="2"/>
    </font>
    <font>
      <sz val="12"/>
      <color rgb="FF3C94DC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.5"/>
      <color theme="4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4F1F9"/>
        <bgColor indexed="64"/>
      </patternFill>
    </fill>
    <fill>
      <patternFill patternType="solid">
        <fgColor rgb="FFFFFE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C94D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2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30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/>
    <xf numFmtId="165" fontId="0" fillId="0" borderId="0" xfId="0" applyNumberFormat="1"/>
    <xf numFmtId="3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/>
    <xf numFmtId="0" fontId="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9" fontId="14" fillId="0" borderId="0" xfId="1" applyNumberFormat="1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3" fontId="14" fillId="0" borderId="0" xfId="0" applyNumberFormat="1" applyFont="1" applyAlignment="1">
      <alignment horizontal="center"/>
    </xf>
    <xf numFmtId="169" fontId="16" fillId="0" borderId="0" xfId="1" applyNumberFormat="1" applyFont="1" applyAlignment="1">
      <alignment horizontal="center"/>
    </xf>
    <xf numFmtId="169" fontId="16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17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44" fontId="16" fillId="0" borderId="0" xfId="1" applyFont="1" applyAlignment="1">
      <alignment horizontal="center"/>
    </xf>
    <xf numFmtId="44" fontId="17" fillId="0" borderId="0" xfId="1" applyFont="1" applyAlignment="1">
      <alignment horizontal="center"/>
    </xf>
    <xf numFmtId="0" fontId="18" fillId="0" borderId="0" xfId="0" applyFont="1" applyAlignment="1">
      <alignment horizontal="center"/>
    </xf>
    <xf numFmtId="3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5" fontId="18" fillId="5" borderId="0" xfId="0" applyNumberFormat="1" applyFont="1" applyFill="1" applyAlignment="1">
      <alignment horizontal="center"/>
    </xf>
    <xf numFmtId="169" fontId="14" fillId="3" borderId="0" xfId="1" applyNumberFormat="1" applyFont="1" applyFill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1" fillId="0" borderId="5" xfId="0" applyFont="1" applyBorder="1"/>
    <xf numFmtId="0" fontId="14" fillId="0" borderId="0" xfId="0" applyFont="1" applyAlignment="1">
      <alignment horizontal="right"/>
    </xf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right"/>
    </xf>
    <xf numFmtId="0" fontId="13" fillId="0" borderId="0" xfId="0" applyFont="1"/>
    <xf numFmtId="0" fontId="24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3" fontId="23" fillId="0" borderId="0" xfId="0" applyNumberFormat="1" applyFont="1" applyAlignment="1">
      <alignment horizontal="center"/>
    </xf>
    <xf numFmtId="3" fontId="24" fillId="0" borderId="0" xfId="0" applyNumberFormat="1" applyFont="1" applyAlignment="1">
      <alignment horizontal="center"/>
    </xf>
    <xf numFmtId="3" fontId="25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3" fillId="0" borderId="5" xfId="0" applyFont="1" applyBorder="1"/>
    <xf numFmtId="0" fontId="23" fillId="0" borderId="5" xfId="0" applyFont="1" applyBorder="1" applyAlignment="1">
      <alignment horizontal="left"/>
    </xf>
    <xf numFmtId="0" fontId="23" fillId="0" borderId="5" xfId="0" applyFont="1" applyBorder="1" applyAlignment="1">
      <alignment horizontal="right"/>
    </xf>
    <xf numFmtId="0" fontId="23" fillId="0" borderId="0" xfId="0" applyFont="1" applyAlignment="1">
      <alignment horizontal="left" wrapText="1"/>
    </xf>
    <xf numFmtId="0" fontId="16" fillId="0" borderId="16" xfId="0" applyFont="1" applyBorder="1" applyAlignment="1">
      <alignment horizontal="left"/>
    </xf>
    <xf numFmtId="0" fontId="16" fillId="0" borderId="0" xfId="0" applyFont="1"/>
    <xf numFmtId="3" fontId="16" fillId="0" borderId="16" xfId="0" applyNumberFormat="1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3" fontId="16" fillId="0" borderId="0" xfId="0" applyNumberFormat="1" applyFont="1"/>
    <xf numFmtId="3" fontId="14" fillId="0" borderId="16" xfId="0" applyNumberFormat="1" applyFont="1" applyBorder="1" applyAlignment="1">
      <alignment horizontal="center"/>
    </xf>
    <xf numFmtId="165" fontId="14" fillId="0" borderId="16" xfId="0" applyNumberFormat="1" applyFont="1" applyBorder="1" applyAlignment="1">
      <alignment horizontal="center"/>
    </xf>
    <xf numFmtId="0" fontId="14" fillId="0" borderId="5" xfId="0" applyFont="1" applyBorder="1" applyAlignment="1">
      <alignment horizontal="right"/>
    </xf>
    <xf numFmtId="0" fontId="16" fillId="0" borderId="5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14" fillId="0" borderId="16" xfId="0" applyFont="1" applyBorder="1" applyAlignment="1">
      <alignment horizontal="center"/>
    </xf>
    <xf numFmtId="165" fontId="16" fillId="0" borderId="0" xfId="0" applyNumberFormat="1" applyFont="1" applyAlignment="1">
      <alignment horizontal="center"/>
    </xf>
    <xf numFmtId="2" fontId="16" fillId="0" borderId="16" xfId="0" applyNumberFormat="1" applyFont="1" applyBorder="1" applyAlignment="1">
      <alignment horizontal="center"/>
    </xf>
    <xf numFmtId="0" fontId="16" fillId="0" borderId="16" xfId="0" applyFont="1" applyBorder="1"/>
    <xf numFmtId="165" fontId="17" fillId="0" borderId="16" xfId="0" applyNumberFormat="1" applyFont="1" applyBorder="1" applyAlignment="1">
      <alignment horizontal="center"/>
    </xf>
    <xf numFmtId="165" fontId="15" fillId="0" borderId="16" xfId="0" applyNumberFormat="1" applyFont="1" applyBorder="1" applyAlignment="1">
      <alignment horizontal="center"/>
    </xf>
    <xf numFmtId="165" fontId="16" fillId="0" borderId="0" xfId="0" applyNumberFormat="1" applyFont="1" applyAlignment="1">
      <alignment horizontal="left"/>
    </xf>
    <xf numFmtId="165" fontId="17" fillId="0" borderId="0" xfId="0" applyNumberFormat="1" applyFont="1" applyAlignment="1">
      <alignment horizontal="center"/>
    </xf>
    <xf numFmtId="165" fontId="14" fillId="0" borderId="16" xfId="0" applyNumberFormat="1" applyFont="1" applyBorder="1" applyAlignment="1">
      <alignment horizontal="left"/>
    </xf>
    <xf numFmtId="0" fontId="17" fillId="0" borderId="16" xfId="0" applyFont="1" applyBorder="1"/>
    <xf numFmtId="3" fontId="16" fillId="0" borderId="16" xfId="0" applyNumberFormat="1" applyFont="1" applyBorder="1" applyAlignment="1">
      <alignment horizontal="left"/>
    </xf>
    <xf numFmtId="3" fontId="15" fillId="0" borderId="16" xfId="0" applyNumberFormat="1" applyFont="1" applyBorder="1" applyAlignment="1">
      <alignment horizontal="center"/>
    </xf>
    <xf numFmtId="2" fontId="16" fillId="0" borderId="16" xfId="0" applyNumberFormat="1" applyFont="1" applyBorder="1" applyAlignment="1">
      <alignment horizontal="left"/>
    </xf>
    <xf numFmtId="0" fontId="16" fillId="0" borderId="0" xfId="0" applyFont="1" applyAlignment="1">
      <alignment horizontal="right"/>
    </xf>
    <xf numFmtId="0" fontId="17" fillId="0" borderId="0" xfId="0" applyFont="1"/>
    <xf numFmtId="1" fontId="16" fillId="0" borderId="16" xfId="0" applyNumberFormat="1" applyFont="1" applyBorder="1" applyAlignment="1">
      <alignment horizontal="center"/>
    </xf>
    <xf numFmtId="2" fontId="14" fillId="6" borderId="16" xfId="0" applyNumberFormat="1" applyFont="1" applyFill="1" applyBorder="1" applyAlignment="1" applyProtection="1">
      <alignment horizontal="center"/>
      <protection locked="0"/>
    </xf>
    <xf numFmtId="1" fontId="14" fillId="6" borderId="16" xfId="0" applyNumberFormat="1" applyFont="1" applyFill="1" applyBorder="1" applyAlignment="1" applyProtection="1">
      <alignment horizontal="center"/>
      <protection locked="0"/>
    </xf>
    <xf numFmtId="164" fontId="14" fillId="6" borderId="16" xfId="2" applyNumberFormat="1" applyFont="1" applyFill="1" applyBorder="1" applyAlignment="1" applyProtection="1">
      <alignment horizontal="center"/>
      <protection locked="0"/>
    </xf>
    <xf numFmtId="165" fontId="14" fillId="6" borderId="16" xfId="0" applyNumberFormat="1" applyFont="1" applyFill="1" applyBorder="1" applyAlignment="1" applyProtection="1">
      <alignment horizontal="center"/>
      <protection locked="0"/>
    </xf>
    <xf numFmtId="164" fontId="14" fillId="6" borderId="30" xfId="2" applyNumberFormat="1" applyFont="1" applyFill="1" applyBorder="1" applyAlignment="1" applyProtection="1">
      <alignment horizontal="center"/>
      <protection locked="0"/>
    </xf>
    <xf numFmtId="44" fontId="26" fillId="7" borderId="4" xfId="1" applyFont="1" applyFill="1" applyBorder="1"/>
    <xf numFmtId="0" fontId="26" fillId="7" borderId="31" xfId="0" applyFont="1" applyFill="1" applyBorder="1" applyAlignment="1">
      <alignment horizontal="left"/>
    </xf>
    <xf numFmtId="0" fontId="16" fillId="5" borderId="16" xfId="0" applyFont="1" applyFill="1" applyBorder="1" applyAlignment="1">
      <alignment horizontal="left"/>
    </xf>
    <xf numFmtId="0" fontId="14" fillId="5" borderId="16" xfId="0" applyFont="1" applyFill="1" applyBorder="1" applyAlignment="1">
      <alignment horizontal="left"/>
    </xf>
    <xf numFmtId="0" fontId="14" fillId="5" borderId="30" xfId="0" applyFont="1" applyFill="1" applyBorder="1" applyAlignment="1">
      <alignment horizontal="left"/>
    </xf>
    <xf numFmtId="0" fontId="14" fillId="5" borderId="8" xfId="0" applyFont="1" applyFill="1" applyBorder="1" applyAlignment="1">
      <alignment horizontal="left"/>
    </xf>
    <xf numFmtId="0" fontId="24" fillId="0" borderId="0" xfId="0" applyFont="1"/>
    <xf numFmtId="0" fontId="14" fillId="0" borderId="0" xfId="0" applyFont="1"/>
    <xf numFmtId="0" fontId="24" fillId="7" borderId="32" xfId="0" applyFont="1" applyFill="1" applyBorder="1" applyAlignment="1">
      <alignment horizontal="left"/>
    </xf>
    <xf numFmtId="0" fontId="38" fillId="0" borderId="0" xfId="0" applyFont="1"/>
    <xf numFmtId="0" fontId="29" fillId="0" borderId="0" xfId="0" applyFont="1" applyAlignment="1">
      <alignment horizontal="right"/>
    </xf>
    <xf numFmtId="0" fontId="30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31" fillId="0" borderId="0" xfId="0" applyFont="1"/>
    <xf numFmtId="0" fontId="14" fillId="5" borderId="16" xfId="0" applyFont="1" applyFill="1" applyBorder="1" applyAlignment="1">
      <alignment horizontal="right"/>
    </xf>
    <xf numFmtId="0" fontId="14" fillId="5" borderId="16" xfId="0" applyFont="1" applyFill="1" applyBorder="1" applyAlignment="1">
      <alignment horizontal="center"/>
    </xf>
    <xf numFmtId="0" fontId="27" fillId="5" borderId="16" xfId="0" applyFont="1" applyFill="1" applyBorder="1" applyAlignment="1">
      <alignment horizontal="center"/>
    </xf>
    <xf numFmtId="0" fontId="14" fillId="5" borderId="29" xfId="0" applyFont="1" applyFill="1" applyBorder="1" applyAlignment="1">
      <alignment horizontal="right"/>
    </xf>
    <xf numFmtId="0" fontId="16" fillId="5" borderId="29" xfId="0" applyFont="1" applyFill="1" applyBorder="1"/>
    <xf numFmtId="0" fontId="14" fillId="5" borderId="30" xfId="0" applyFont="1" applyFill="1" applyBorder="1" applyAlignment="1">
      <alignment horizontal="right"/>
    </xf>
    <xf numFmtId="0" fontId="16" fillId="5" borderId="16" xfId="0" applyFont="1" applyFill="1" applyBorder="1"/>
    <xf numFmtId="0" fontId="16" fillId="0" borderId="8" xfId="0" applyFont="1" applyBorder="1" applyAlignment="1">
      <alignment horizontal="left"/>
    </xf>
    <xf numFmtId="0" fontId="28" fillId="5" borderId="16" xfId="0" applyFont="1" applyFill="1" applyBorder="1" applyAlignment="1">
      <alignment horizontal="center"/>
    </xf>
    <xf numFmtId="0" fontId="40" fillId="0" borderId="0" xfId="0" applyFont="1"/>
    <xf numFmtId="0" fontId="33" fillId="0" borderId="0" xfId="0" applyFont="1"/>
    <xf numFmtId="0" fontId="41" fillId="0" borderId="0" xfId="0" applyFont="1"/>
    <xf numFmtId="0" fontId="34" fillId="0" borderId="0" xfId="0" applyFont="1"/>
    <xf numFmtId="0" fontId="34" fillId="0" borderId="26" xfId="0" applyFont="1" applyBorder="1" applyAlignment="1">
      <alignment horizontal="left"/>
    </xf>
    <xf numFmtId="0" fontId="32" fillId="0" borderId="0" xfId="0" applyFont="1"/>
    <xf numFmtId="0" fontId="34" fillId="0" borderId="28" xfId="0" applyFont="1" applyBorder="1" applyAlignment="1">
      <alignment horizontal="left"/>
    </xf>
    <xf numFmtId="1" fontId="34" fillId="0" borderId="28" xfId="0" applyNumberFormat="1" applyFont="1" applyBorder="1" applyAlignment="1">
      <alignment horizontal="left"/>
    </xf>
    <xf numFmtId="0" fontId="32" fillId="0" borderId="28" xfId="0" applyFont="1" applyBorder="1" applyAlignment="1">
      <alignment horizontal="left"/>
    </xf>
    <xf numFmtId="3" fontId="34" fillId="0" borderId="28" xfId="0" applyNumberFormat="1" applyFont="1" applyBorder="1" applyAlignment="1">
      <alignment horizontal="left"/>
    </xf>
    <xf numFmtId="164" fontId="14" fillId="6" borderId="8" xfId="2" applyNumberFormat="1" applyFont="1" applyFill="1" applyBorder="1" applyAlignment="1" applyProtection="1">
      <alignment horizontal="center"/>
      <protection locked="0"/>
    </xf>
    <xf numFmtId="164" fontId="16" fillId="0" borderId="8" xfId="2" applyNumberFormat="1" applyFont="1" applyBorder="1" applyAlignment="1" applyProtection="1">
      <alignment horizontal="center"/>
    </xf>
    <xf numFmtId="164" fontId="14" fillId="0" borderId="8" xfId="0" applyNumberFormat="1" applyFont="1" applyBorder="1" applyAlignment="1">
      <alignment horizontal="center"/>
    </xf>
    <xf numFmtId="165" fontId="14" fillId="0" borderId="27" xfId="0" applyNumberFormat="1" applyFont="1" applyBorder="1" applyAlignment="1">
      <alignment horizontal="center"/>
    </xf>
    <xf numFmtId="0" fontId="16" fillId="0" borderId="33" xfId="0" applyFont="1" applyBorder="1"/>
    <xf numFmtId="0" fontId="14" fillId="5" borderId="16" xfId="0" applyFont="1" applyFill="1" applyBorder="1" applyAlignment="1">
      <alignment horizontal="center" vertical="center"/>
    </xf>
    <xf numFmtId="0" fontId="16" fillId="0" borderId="27" xfId="0" applyFont="1" applyBorder="1" applyAlignment="1">
      <alignment horizontal="left"/>
    </xf>
    <xf numFmtId="0" fontId="38" fillId="0" borderId="0" xfId="0" applyFont="1" applyAlignment="1">
      <alignment horizontal="left"/>
    </xf>
    <xf numFmtId="0" fontId="42" fillId="0" borderId="0" xfId="0" applyFont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9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43" fillId="0" borderId="0" xfId="0" applyFont="1" applyAlignment="1">
      <alignment horizontal="right"/>
    </xf>
    <xf numFmtId="0" fontId="44" fillId="0" borderId="23" xfId="0" applyFont="1" applyBorder="1" applyAlignment="1">
      <alignment horizontal="left"/>
    </xf>
    <xf numFmtId="10" fontId="6" fillId="0" borderId="24" xfId="2" applyNumberFormat="1" applyFont="1" applyBorder="1" applyAlignment="1" applyProtection="1">
      <alignment horizontal="center"/>
    </xf>
    <xf numFmtId="0" fontId="6" fillId="0" borderId="23" xfId="0" applyFont="1" applyBorder="1"/>
    <xf numFmtId="0" fontId="6" fillId="0" borderId="25" xfId="0" applyFont="1" applyBorder="1" applyAlignment="1">
      <alignment horizontal="center"/>
    </xf>
    <xf numFmtId="0" fontId="6" fillId="0" borderId="25" xfId="0" applyFont="1" applyBorder="1" applyAlignment="1">
      <alignment horizontal="right"/>
    </xf>
    <xf numFmtId="0" fontId="6" fillId="0" borderId="23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43" fontId="6" fillId="0" borderId="0" xfId="23" applyFont="1" applyAlignment="1">
      <alignment horizontal="center"/>
    </xf>
    <xf numFmtId="43" fontId="6" fillId="0" borderId="0" xfId="23" applyFont="1" applyAlignment="1">
      <alignment horizontal="left"/>
    </xf>
    <xf numFmtId="0" fontId="6" fillId="2" borderId="0" xfId="0" applyFont="1" applyFill="1" applyAlignment="1">
      <alignment horizontal="center"/>
    </xf>
    <xf numFmtId="0" fontId="9" fillId="2" borderId="0" xfId="0" applyFont="1" applyFill="1" applyAlignment="1" applyProtection="1">
      <alignment horizontal="right"/>
      <protection locked="0"/>
    </xf>
    <xf numFmtId="168" fontId="3" fillId="0" borderId="0" xfId="0" applyNumberFormat="1" applyFont="1" applyAlignment="1">
      <alignment horizontal="center"/>
    </xf>
    <xf numFmtId="167" fontId="6" fillId="0" borderId="0" xfId="0" applyNumberFormat="1" applyFont="1" applyAlignment="1">
      <alignment horizontal="center"/>
    </xf>
    <xf numFmtId="0" fontId="9" fillId="0" borderId="0" xfId="0" applyFont="1" applyAlignment="1" applyProtection="1">
      <alignment horizontal="right"/>
      <protection locked="0"/>
    </xf>
    <xf numFmtId="167" fontId="6" fillId="2" borderId="2" xfId="0" applyNumberFormat="1" applyFont="1" applyFill="1" applyBorder="1" applyAlignment="1" applyProtection="1">
      <alignment horizontal="center"/>
      <protection locked="0"/>
    </xf>
    <xf numFmtId="167" fontId="6" fillId="2" borderId="3" xfId="0" applyNumberFormat="1" applyFont="1" applyFill="1" applyBorder="1" applyAlignment="1" applyProtection="1">
      <alignment horizontal="center"/>
      <protection locked="0"/>
    </xf>
    <xf numFmtId="0" fontId="43" fillId="0" borderId="0" xfId="0" applyFont="1"/>
    <xf numFmtId="0" fontId="43" fillId="0" borderId="0" xfId="0" applyFont="1" applyAlignment="1">
      <alignment horizontal="center"/>
    </xf>
    <xf numFmtId="0" fontId="46" fillId="0" borderId="0" xfId="0" applyFont="1" applyAlignment="1">
      <alignment horizontal="left"/>
    </xf>
    <xf numFmtId="44" fontId="6" fillId="6" borderId="1" xfId="1" applyFont="1" applyFill="1" applyBorder="1" applyAlignment="1" applyProtection="1">
      <alignment horizontal="center"/>
      <protection locked="0"/>
    </xf>
    <xf numFmtId="44" fontId="6" fillId="6" borderId="2" xfId="1" applyFont="1" applyFill="1" applyBorder="1" applyAlignment="1" applyProtection="1">
      <alignment horizontal="center"/>
      <protection locked="0"/>
    </xf>
    <xf numFmtId="44" fontId="9" fillId="6" borderId="2" xfId="1" applyFont="1" applyFill="1" applyBorder="1" applyAlignment="1" applyProtection="1">
      <alignment horizontal="center"/>
      <protection locked="0"/>
    </xf>
    <xf numFmtId="44" fontId="9" fillId="6" borderId="3" xfId="1" applyFont="1" applyFill="1" applyBorder="1" applyAlignment="1" applyProtection="1">
      <alignment horizontal="center"/>
      <protection locked="0"/>
    </xf>
    <xf numFmtId="43" fontId="6" fillId="6" borderId="1" xfId="23" applyFont="1" applyFill="1" applyBorder="1" applyAlignment="1" applyProtection="1">
      <alignment horizontal="center"/>
      <protection locked="0"/>
    </xf>
    <xf numFmtId="43" fontId="6" fillId="6" borderId="2" xfId="23" applyFont="1" applyFill="1" applyBorder="1" applyAlignment="1" applyProtection="1">
      <alignment horizontal="center"/>
      <protection locked="0"/>
    </xf>
    <xf numFmtId="43" fontId="6" fillId="6" borderId="3" xfId="23" applyFont="1" applyFill="1" applyBorder="1" applyAlignment="1" applyProtection="1">
      <alignment horizontal="center"/>
      <protection locked="0"/>
    </xf>
    <xf numFmtId="10" fontId="6" fillId="6" borderId="24" xfId="2" applyNumberFormat="1" applyFont="1" applyFill="1" applyBorder="1" applyAlignment="1" applyProtection="1">
      <alignment horizontal="center"/>
    </xf>
    <xf numFmtId="44" fontId="6" fillId="6" borderId="3" xfId="1" applyFont="1" applyFill="1" applyBorder="1" applyAlignment="1" applyProtection="1">
      <alignment horizontal="center"/>
      <protection locked="0"/>
    </xf>
    <xf numFmtId="167" fontId="6" fillId="6" borderId="1" xfId="0" applyNumberFormat="1" applyFont="1" applyFill="1" applyBorder="1" applyAlignment="1" applyProtection="1">
      <alignment horizontal="center"/>
      <protection locked="0"/>
    </xf>
    <xf numFmtId="167" fontId="6" fillId="6" borderId="2" xfId="0" applyNumberFormat="1" applyFont="1" applyFill="1" applyBorder="1" applyAlignment="1" applyProtection="1">
      <alignment horizontal="center"/>
      <protection locked="0"/>
    </xf>
    <xf numFmtId="167" fontId="6" fillId="6" borderId="3" xfId="0" applyNumberFormat="1" applyFont="1" applyFill="1" applyBorder="1" applyAlignment="1" applyProtection="1">
      <alignment horizontal="center"/>
      <protection locked="0"/>
    </xf>
    <xf numFmtId="164" fontId="6" fillId="6" borderId="4" xfId="2" applyNumberFormat="1" applyFont="1" applyFill="1" applyBorder="1" applyAlignment="1" applyProtection="1">
      <alignment horizontal="center"/>
      <protection locked="0"/>
    </xf>
    <xf numFmtId="167" fontId="6" fillId="6" borderId="4" xfId="0" applyNumberFormat="1" applyFont="1" applyFill="1" applyBorder="1" applyAlignment="1" applyProtection="1">
      <alignment horizontal="center"/>
      <protection locked="0"/>
    </xf>
    <xf numFmtId="166" fontId="6" fillId="6" borderId="3" xfId="0" applyNumberFormat="1" applyFont="1" applyFill="1" applyBorder="1" applyAlignment="1" applyProtection="1">
      <alignment horizontal="center"/>
      <protection locked="0"/>
    </xf>
    <xf numFmtId="165" fontId="6" fillId="6" borderId="4" xfId="0" applyNumberFormat="1" applyFont="1" applyFill="1" applyBorder="1" applyAlignment="1" applyProtection="1">
      <alignment horizontal="center"/>
      <protection locked="0"/>
    </xf>
    <xf numFmtId="165" fontId="6" fillId="8" borderId="4" xfId="0" applyNumberFormat="1" applyFont="1" applyFill="1" applyBorder="1" applyAlignment="1" applyProtection="1">
      <alignment horizontal="center"/>
      <protection locked="0"/>
    </xf>
    <xf numFmtId="0" fontId="6" fillId="5" borderId="0" xfId="0" applyFont="1" applyFill="1"/>
    <xf numFmtId="0" fontId="6" fillId="5" borderId="0" xfId="0" applyFont="1" applyFill="1" applyAlignment="1">
      <alignment horizontal="right"/>
    </xf>
    <xf numFmtId="168" fontId="45" fillId="9" borderId="0" xfId="0" applyNumberFormat="1" applyFont="1" applyFill="1" applyAlignment="1">
      <alignment horizontal="center"/>
    </xf>
    <xf numFmtId="168" fontId="45" fillId="9" borderId="0" xfId="0" applyNumberFormat="1" applyFont="1" applyFill="1" applyAlignment="1">
      <alignment horizontal="left"/>
    </xf>
    <xf numFmtId="0" fontId="47" fillId="9" borderId="0" xfId="0" applyFont="1" applyFill="1" applyAlignment="1">
      <alignment horizontal="center"/>
    </xf>
    <xf numFmtId="0" fontId="35" fillId="9" borderId="0" xfId="0" applyFont="1" applyFill="1"/>
    <xf numFmtId="168" fontId="35" fillId="9" borderId="0" xfId="1" applyNumberFormat="1" applyFont="1" applyFill="1" applyAlignment="1">
      <alignment horizontal="center"/>
    </xf>
    <xf numFmtId="168" fontId="35" fillId="9" borderId="0" xfId="0" applyNumberFormat="1" applyFont="1" applyFill="1" applyAlignment="1">
      <alignment horizontal="center"/>
    </xf>
    <xf numFmtId="168" fontId="35" fillId="9" borderId="0" xfId="0" applyNumberFormat="1" applyFont="1" applyFill="1" applyAlignment="1">
      <alignment horizontal="left"/>
    </xf>
    <xf numFmtId="0" fontId="35" fillId="9" borderId="0" xfId="0" applyFont="1" applyFill="1" applyAlignment="1">
      <alignment horizontal="right"/>
    </xf>
    <xf numFmtId="0" fontId="45" fillId="9" borderId="0" xfId="0" applyFont="1" applyFill="1"/>
    <xf numFmtId="0" fontId="35" fillId="10" borderId="0" xfId="0" applyFont="1" applyFill="1" applyAlignment="1">
      <alignment horizontal="right"/>
    </xf>
    <xf numFmtId="0" fontId="35" fillId="10" borderId="0" xfId="0" applyFont="1" applyFill="1"/>
    <xf numFmtId="165" fontId="35" fillId="10" borderId="5" xfId="0" applyNumberFormat="1" applyFont="1" applyFill="1" applyBorder="1" applyAlignment="1">
      <alignment horizontal="center"/>
    </xf>
    <xf numFmtId="0" fontId="35" fillId="10" borderId="0" xfId="0" applyFont="1" applyFill="1" applyAlignment="1">
      <alignment horizontal="center"/>
    </xf>
    <xf numFmtId="0" fontId="35" fillId="10" borderId="0" xfId="0" applyFont="1" applyFill="1" applyAlignment="1">
      <alignment horizontal="left"/>
    </xf>
    <xf numFmtId="0" fontId="30" fillId="0" borderId="0" xfId="0" applyFont="1" applyAlignment="1">
      <alignment horizontal="right"/>
    </xf>
    <xf numFmtId="0" fontId="30" fillId="0" borderId="0" xfId="0" applyFont="1"/>
    <xf numFmtId="0" fontId="30" fillId="0" borderId="0" xfId="0" applyFont="1" applyAlignment="1">
      <alignment horizontal="center"/>
    </xf>
    <xf numFmtId="0" fontId="27" fillId="5" borderId="0" xfId="0" applyFont="1" applyFill="1" applyAlignment="1">
      <alignment horizontal="right"/>
    </xf>
    <xf numFmtId="0" fontId="27" fillId="5" borderId="0" xfId="0" applyFont="1" applyFill="1"/>
    <xf numFmtId="43" fontId="27" fillId="5" borderId="0" xfId="23" applyFont="1" applyFill="1" applyAlignment="1">
      <alignment horizontal="center"/>
    </xf>
    <xf numFmtId="43" fontId="27" fillId="5" borderId="0" xfId="23" applyFont="1" applyFill="1" applyAlignment="1">
      <alignment horizontal="left"/>
    </xf>
    <xf numFmtId="43" fontId="6" fillId="5" borderId="0" xfId="23" applyFont="1" applyFill="1" applyAlignment="1">
      <alignment horizontal="left"/>
    </xf>
    <xf numFmtId="0" fontId="6" fillId="5" borderId="0" xfId="0" applyFont="1" applyFill="1" applyAlignment="1">
      <alignment horizontal="left"/>
    </xf>
    <xf numFmtId="43" fontId="6" fillId="5" borderId="0" xfId="23" applyFont="1" applyFill="1" applyAlignment="1">
      <alignment horizontal="center"/>
    </xf>
    <xf numFmtId="167" fontId="6" fillId="5" borderId="0" xfId="0" applyNumberFormat="1" applyFont="1" applyFill="1" applyAlignment="1">
      <alignment horizontal="center"/>
    </xf>
    <xf numFmtId="43" fontId="6" fillId="0" borderId="0" xfId="23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6" fillId="5" borderId="0" xfId="0" applyFont="1" applyFill="1" applyAlignment="1" applyProtection="1">
      <alignment horizontal="right"/>
      <protection locked="0"/>
    </xf>
    <xf numFmtId="0" fontId="27" fillId="0" borderId="0" xfId="0" applyFont="1" applyAlignment="1" applyProtection="1">
      <alignment horizontal="right"/>
      <protection locked="0"/>
    </xf>
    <xf numFmtId="0" fontId="9" fillId="5" borderId="0" xfId="0" applyFont="1" applyFill="1" applyAlignment="1">
      <alignment horizontal="right"/>
    </xf>
    <xf numFmtId="0" fontId="9" fillId="5" borderId="0" xfId="0" applyFont="1" applyFill="1" applyAlignment="1" applyProtection="1">
      <alignment horizontal="right"/>
      <protection locked="0"/>
    </xf>
    <xf numFmtId="0" fontId="48" fillId="0" borderId="0" xfId="0" applyFont="1"/>
    <xf numFmtId="0" fontId="49" fillId="0" borderId="0" xfId="0" applyFont="1"/>
    <xf numFmtId="0" fontId="14" fillId="6" borderId="19" xfId="0" applyFont="1" applyFill="1" applyBorder="1" applyAlignment="1" applyProtection="1">
      <alignment horizontal="center"/>
      <protection locked="0"/>
    </xf>
    <xf numFmtId="0" fontId="14" fillId="6" borderId="20" xfId="0" applyFont="1" applyFill="1" applyBorder="1" applyAlignment="1" applyProtection="1">
      <alignment horizontal="center"/>
      <protection locked="0"/>
    </xf>
    <xf numFmtId="0" fontId="14" fillId="6" borderId="15" xfId="0" applyFont="1" applyFill="1" applyBorder="1" applyAlignment="1" applyProtection="1">
      <alignment horizontal="center"/>
      <protection locked="0"/>
    </xf>
    <xf numFmtId="165" fontId="50" fillId="6" borderId="17" xfId="0" applyNumberFormat="1" applyFont="1" applyFill="1" applyBorder="1" applyAlignment="1" applyProtection="1">
      <alignment horizontal="center"/>
      <protection locked="0"/>
    </xf>
    <xf numFmtId="165" fontId="50" fillId="6" borderId="15" xfId="0" applyNumberFormat="1" applyFont="1" applyFill="1" applyBorder="1" applyAlignment="1" applyProtection="1">
      <alignment horizontal="center"/>
      <protection locked="0"/>
    </xf>
    <xf numFmtId="165" fontId="50" fillId="6" borderId="10" xfId="0" applyNumberFormat="1" applyFont="1" applyFill="1" applyBorder="1" applyAlignment="1" applyProtection="1">
      <alignment horizontal="center"/>
      <protection locked="0"/>
    </xf>
    <xf numFmtId="165" fontId="50" fillId="6" borderId="7" xfId="0" applyNumberFormat="1" applyFont="1" applyFill="1" applyBorder="1" applyAlignment="1" applyProtection="1">
      <alignment horizontal="center"/>
      <protection locked="0"/>
    </xf>
    <xf numFmtId="165" fontId="50" fillId="6" borderId="12" xfId="0" applyNumberFormat="1" applyFont="1" applyFill="1" applyBorder="1" applyAlignment="1" applyProtection="1">
      <alignment horizontal="center"/>
      <protection locked="0"/>
    </xf>
    <xf numFmtId="165" fontId="50" fillId="6" borderId="13" xfId="0" applyNumberFormat="1" applyFont="1" applyFill="1" applyBorder="1" applyAlignment="1" applyProtection="1">
      <alignment horizontal="center"/>
      <protection locked="0"/>
    </xf>
    <xf numFmtId="165" fontId="50" fillId="6" borderId="11" xfId="0" applyNumberFormat="1" applyFont="1" applyFill="1" applyBorder="1" applyAlignment="1" applyProtection="1">
      <alignment horizontal="center"/>
      <protection locked="0"/>
    </xf>
    <xf numFmtId="165" fontId="50" fillId="6" borderId="14" xfId="0" applyNumberFormat="1" applyFont="1" applyFill="1" applyBorder="1" applyAlignment="1" applyProtection="1">
      <alignment horizontal="center"/>
      <protection locked="0"/>
    </xf>
    <xf numFmtId="165" fontId="52" fillId="2" borderId="0" xfId="0" applyNumberFormat="1" applyFont="1" applyFill="1" applyAlignment="1" applyProtection="1">
      <alignment horizontal="center"/>
      <protection locked="0"/>
    </xf>
    <xf numFmtId="0" fontId="39" fillId="0" borderId="0" xfId="0" applyFont="1"/>
    <xf numFmtId="165" fontId="16" fillId="6" borderId="10" xfId="0" applyNumberFormat="1" applyFont="1" applyFill="1" applyBorder="1" applyAlignment="1" applyProtection="1">
      <alignment horizontal="center"/>
      <protection locked="0"/>
    </xf>
    <xf numFmtId="165" fontId="16" fillId="6" borderId="7" xfId="0" applyNumberFormat="1" applyFont="1" applyFill="1" applyBorder="1" applyAlignment="1" applyProtection="1">
      <alignment horizontal="center"/>
      <protection locked="0"/>
    </xf>
    <xf numFmtId="165" fontId="16" fillId="6" borderId="12" xfId="0" applyNumberFormat="1" applyFont="1" applyFill="1" applyBorder="1" applyAlignment="1" applyProtection="1">
      <alignment horizontal="center"/>
      <protection locked="0"/>
    </xf>
    <xf numFmtId="165" fontId="16" fillId="6" borderId="13" xfId="0" applyNumberFormat="1" applyFont="1" applyFill="1" applyBorder="1" applyAlignment="1" applyProtection="1">
      <alignment horizontal="center"/>
      <protection locked="0"/>
    </xf>
    <xf numFmtId="165" fontId="16" fillId="6" borderId="15" xfId="0" applyNumberFormat="1" applyFont="1" applyFill="1" applyBorder="1" applyAlignment="1" applyProtection="1">
      <alignment horizontal="center"/>
      <protection locked="0"/>
    </xf>
    <xf numFmtId="165" fontId="16" fillId="6" borderId="17" xfId="0" applyNumberFormat="1" applyFont="1" applyFill="1" applyBorder="1" applyAlignment="1" applyProtection="1">
      <alignment horizontal="center"/>
      <protection locked="0"/>
    </xf>
    <xf numFmtId="9" fontId="14" fillId="6" borderId="0" xfId="2" applyFont="1" applyFill="1" applyAlignment="1" applyProtection="1">
      <alignment horizontal="center"/>
      <protection locked="0"/>
    </xf>
    <xf numFmtId="164" fontId="14" fillId="6" borderId="0" xfId="2" applyNumberFormat="1" applyFont="1" applyFill="1" applyAlignment="1" applyProtection="1">
      <alignment horizontal="center"/>
      <protection locked="0"/>
    </xf>
    <xf numFmtId="164" fontId="14" fillId="2" borderId="0" xfId="2" applyNumberFormat="1" applyFont="1" applyFill="1" applyAlignment="1" applyProtection="1">
      <alignment horizontal="center"/>
      <protection locked="0"/>
    </xf>
    <xf numFmtId="0" fontId="36" fillId="9" borderId="0" xfId="0" applyFont="1" applyFill="1"/>
    <xf numFmtId="0" fontId="26" fillId="9" borderId="0" xfId="0" applyFont="1" applyFill="1" applyAlignment="1">
      <alignment horizontal="right"/>
    </xf>
    <xf numFmtId="167" fontId="14" fillId="5" borderId="0" xfId="0" applyNumberFormat="1" applyFont="1" applyFill="1" applyAlignment="1">
      <alignment horizontal="right"/>
    </xf>
    <xf numFmtId="165" fontId="16" fillId="5" borderId="0" xfId="0" applyNumberFormat="1" applyFont="1" applyFill="1" applyAlignment="1">
      <alignment horizontal="center"/>
    </xf>
    <xf numFmtId="167" fontId="14" fillId="0" borderId="0" xfId="0" applyNumberFormat="1" applyFont="1" applyAlignment="1">
      <alignment horizontal="right"/>
    </xf>
    <xf numFmtId="164" fontId="16" fillId="5" borderId="0" xfId="2" applyNumberFormat="1" applyFont="1" applyFill="1" applyAlignment="1">
      <alignment horizontal="center"/>
    </xf>
    <xf numFmtId="165" fontId="14" fillId="6" borderId="0" xfId="0" applyNumberFormat="1" applyFont="1" applyFill="1" applyAlignment="1" applyProtection="1">
      <alignment horizontal="center"/>
      <protection locked="0"/>
    </xf>
    <xf numFmtId="165" fontId="16" fillId="0" borderId="0" xfId="0" applyNumberFormat="1" applyFont="1"/>
    <xf numFmtId="165" fontId="16" fillId="2" borderId="0" xfId="0" applyNumberFormat="1" applyFont="1" applyFill="1" applyAlignment="1">
      <alignment horizontal="center"/>
    </xf>
    <xf numFmtId="164" fontId="16" fillId="2" borderId="0" xfId="2" applyNumberFormat="1" applyFont="1" applyFill="1" applyAlignment="1">
      <alignment horizontal="center"/>
    </xf>
    <xf numFmtId="165" fontId="36" fillId="0" borderId="0" xfId="0" applyNumberFormat="1" applyFont="1" applyAlignment="1">
      <alignment horizontal="center"/>
    </xf>
    <xf numFmtId="164" fontId="16" fillId="0" borderId="0" xfId="2" applyNumberFormat="1" applyFont="1" applyFill="1" applyAlignment="1">
      <alignment horizontal="center"/>
    </xf>
    <xf numFmtId="0" fontId="30" fillId="0" borderId="0" xfId="0" applyFont="1" applyAlignment="1">
      <alignment horizontal="right" vertical="center"/>
    </xf>
    <xf numFmtId="0" fontId="30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37" fillId="0" borderId="0" xfId="0" applyFont="1" applyAlignment="1">
      <alignment horizontal="center"/>
    </xf>
    <xf numFmtId="165" fontId="25" fillId="0" borderId="0" xfId="0" applyNumberFormat="1" applyFont="1" applyAlignment="1">
      <alignment horizontal="center"/>
    </xf>
    <xf numFmtId="0" fontId="48" fillId="0" borderId="0" xfId="0" applyFont="1" applyAlignment="1">
      <alignment horizontal="left"/>
    </xf>
    <xf numFmtId="169" fontId="48" fillId="0" borderId="0" xfId="0" applyNumberFormat="1" applyFont="1" applyAlignment="1">
      <alignment horizontal="center"/>
    </xf>
    <xf numFmtId="3" fontId="48" fillId="0" borderId="0" xfId="0" applyNumberFormat="1" applyFont="1" applyAlignment="1">
      <alignment horizontal="center"/>
    </xf>
    <xf numFmtId="0" fontId="26" fillId="9" borderId="0" xfId="0" applyFont="1" applyFill="1" applyAlignment="1">
      <alignment horizontal="left"/>
    </xf>
    <xf numFmtId="3" fontId="26" fillId="9" borderId="0" xfId="0" applyNumberFormat="1" applyFont="1" applyFill="1" applyAlignment="1">
      <alignment horizontal="center"/>
    </xf>
    <xf numFmtId="0" fontId="26" fillId="9" borderId="0" xfId="0" applyFont="1" applyFill="1" applyAlignment="1">
      <alignment horizontal="center"/>
    </xf>
    <xf numFmtId="0" fontId="53" fillId="9" borderId="0" xfId="0" applyFont="1" applyFill="1" applyAlignment="1">
      <alignment horizontal="left"/>
    </xf>
    <xf numFmtId="3" fontId="53" fillId="9" borderId="0" xfId="0" applyNumberFormat="1" applyFont="1" applyFill="1" applyAlignment="1">
      <alignment horizontal="center"/>
    </xf>
    <xf numFmtId="0" fontId="53" fillId="9" borderId="0" xfId="0" applyFont="1" applyFill="1" applyAlignment="1">
      <alignment horizontal="center"/>
    </xf>
    <xf numFmtId="169" fontId="26" fillId="9" borderId="0" xfId="1" applyNumberFormat="1" applyFont="1" applyFill="1" applyAlignment="1">
      <alignment horizontal="center"/>
    </xf>
    <xf numFmtId="169" fontId="53" fillId="9" borderId="0" xfId="1" applyNumberFormat="1" applyFont="1" applyFill="1" applyAlignment="1">
      <alignment horizontal="center"/>
    </xf>
    <xf numFmtId="169" fontId="53" fillId="9" borderId="0" xfId="1" applyNumberFormat="1" applyFont="1" applyFill="1" applyAlignment="1">
      <alignment horizontal="left"/>
    </xf>
    <xf numFmtId="165" fontId="26" fillId="9" borderId="21" xfId="0" applyNumberFormat="1" applyFont="1" applyFill="1" applyBorder="1" applyAlignment="1">
      <alignment horizontal="center"/>
    </xf>
    <xf numFmtId="165" fontId="26" fillId="9" borderId="22" xfId="0" applyNumberFormat="1" applyFont="1" applyFill="1" applyBorder="1" applyAlignment="1">
      <alignment horizontal="center"/>
    </xf>
    <xf numFmtId="165" fontId="26" fillId="9" borderId="18" xfId="0" applyNumberFormat="1" applyFont="1" applyFill="1" applyBorder="1" applyAlignment="1">
      <alignment horizontal="center"/>
    </xf>
    <xf numFmtId="165" fontId="26" fillId="9" borderId="11" xfId="0" applyNumberFormat="1" applyFont="1" applyFill="1" applyBorder="1" applyAlignment="1">
      <alignment horizontal="center"/>
    </xf>
    <xf numFmtId="165" fontId="26" fillId="9" borderId="14" xfId="0" applyNumberFormat="1" applyFont="1" applyFill="1" applyBorder="1" applyAlignment="1">
      <alignment horizontal="center"/>
    </xf>
    <xf numFmtId="165" fontId="26" fillId="9" borderId="7" xfId="0" applyNumberFormat="1" applyFont="1" applyFill="1" applyBorder="1" applyAlignment="1">
      <alignment horizontal="center"/>
    </xf>
    <xf numFmtId="0" fontId="30" fillId="0" borderId="0" xfId="0" applyFont="1" applyAlignment="1">
      <alignment horizontal="left" vertical="center"/>
    </xf>
    <xf numFmtId="0" fontId="23" fillId="11" borderId="0" xfId="0" applyFont="1" applyFill="1"/>
    <xf numFmtId="0" fontId="23" fillId="4" borderId="0" xfId="0" applyFont="1" applyFill="1"/>
    <xf numFmtId="0" fontId="51" fillId="4" borderId="0" xfId="0" applyFont="1" applyFill="1"/>
    <xf numFmtId="0" fontId="51" fillId="11" borderId="0" xfId="0" applyFont="1" applyFill="1"/>
    <xf numFmtId="167" fontId="14" fillId="0" borderId="17" xfId="0" applyNumberFormat="1" applyFont="1" applyBorder="1" applyAlignment="1">
      <alignment horizontal="right"/>
    </xf>
    <xf numFmtId="167" fontId="14" fillId="0" borderId="10" xfId="0" applyNumberFormat="1" applyFont="1" applyBorder="1" applyAlignment="1">
      <alignment horizontal="right"/>
    </xf>
    <xf numFmtId="165" fontId="26" fillId="9" borderId="34" xfId="0" applyNumberFormat="1" applyFont="1" applyFill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15" fillId="12" borderId="23" xfId="0" applyFont="1" applyFill="1" applyBorder="1" applyAlignment="1">
      <alignment horizontal="right"/>
    </xf>
    <xf numFmtId="165" fontId="26" fillId="9" borderId="15" xfId="0" applyNumberFormat="1" applyFont="1" applyFill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28" fillId="0" borderId="25" xfId="0" applyFont="1" applyBorder="1" applyAlignment="1">
      <alignment horizontal="center"/>
    </xf>
    <xf numFmtId="0" fontId="28" fillId="0" borderId="35" xfId="0" applyFont="1" applyBorder="1" applyAlignment="1">
      <alignment horizontal="center"/>
    </xf>
    <xf numFmtId="0" fontId="28" fillId="0" borderId="36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15" fillId="12" borderId="4" xfId="0" applyFont="1" applyFill="1" applyBorder="1" applyAlignment="1">
      <alignment horizontal="right"/>
    </xf>
    <xf numFmtId="165" fontId="50" fillId="6" borderId="18" xfId="0" applyNumberFormat="1" applyFont="1" applyFill="1" applyBorder="1" applyAlignment="1" applyProtection="1">
      <alignment horizontal="center"/>
      <protection locked="0"/>
    </xf>
    <xf numFmtId="0" fontId="14" fillId="5" borderId="16" xfId="0" applyFont="1" applyFill="1" applyBorder="1" applyAlignment="1">
      <alignment vertical="center"/>
    </xf>
    <xf numFmtId="0" fontId="14" fillId="5" borderId="16" xfId="0" applyFont="1" applyFill="1" applyBorder="1" applyAlignment="1">
      <alignment horizontal="right" vertical="center"/>
    </xf>
    <xf numFmtId="10" fontId="14" fillId="6" borderId="16" xfId="2" applyNumberFormat="1" applyFont="1" applyFill="1" applyBorder="1" applyAlignment="1" applyProtection="1">
      <alignment horizontal="center" vertical="center"/>
      <protection locked="0"/>
    </xf>
    <xf numFmtId="0" fontId="14" fillId="5" borderId="16" xfId="0" applyFont="1" applyFill="1" applyBorder="1" applyAlignment="1">
      <alignment horizontal="left" vertical="center" wrapText="1"/>
    </xf>
    <xf numFmtId="10" fontId="14" fillId="6" borderId="16" xfId="2" applyNumberFormat="1" applyFont="1" applyFill="1" applyBorder="1" applyAlignment="1" applyProtection="1">
      <alignment horizontal="left" vertical="center"/>
      <protection locked="0"/>
    </xf>
    <xf numFmtId="0" fontId="16" fillId="0" borderId="16" xfId="0" applyFont="1" applyBorder="1" applyAlignment="1">
      <alignment horizontal="center" vertical="center"/>
    </xf>
    <xf numFmtId="0" fontId="16" fillId="0" borderId="16" xfId="0" applyFont="1" applyBorder="1" applyAlignment="1">
      <alignment vertical="center"/>
    </xf>
    <xf numFmtId="0" fontId="17" fillId="0" borderId="16" xfId="0" applyFont="1" applyBorder="1" applyAlignment="1">
      <alignment vertical="center"/>
    </xf>
    <xf numFmtId="165" fontId="25" fillId="6" borderId="16" xfId="0" applyNumberFormat="1" applyFont="1" applyFill="1" applyBorder="1" applyAlignment="1" applyProtection="1">
      <alignment horizontal="center"/>
      <protection locked="0"/>
    </xf>
    <xf numFmtId="165" fontId="57" fillId="5" borderId="16" xfId="0" applyNumberFormat="1" applyFont="1" applyFill="1" applyBorder="1" applyAlignment="1" applyProtection="1">
      <alignment horizontal="center"/>
      <protection locked="0"/>
    </xf>
    <xf numFmtId="165" fontId="25" fillId="5" borderId="16" xfId="0" applyNumberFormat="1" applyFont="1" applyFill="1" applyBorder="1" applyAlignment="1" applyProtection="1">
      <alignment horizontal="center"/>
      <protection locked="0"/>
    </xf>
    <xf numFmtId="165" fontId="14" fillId="5" borderId="16" xfId="0" applyNumberFormat="1" applyFont="1" applyFill="1" applyBorder="1" applyAlignment="1">
      <alignment horizontal="center"/>
    </xf>
    <xf numFmtId="165" fontId="25" fillId="13" borderId="16" xfId="0" applyNumberFormat="1" applyFont="1" applyFill="1" applyBorder="1" applyAlignment="1" applyProtection="1">
      <alignment horizontal="center"/>
      <protection locked="0"/>
    </xf>
    <xf numFmtId="3" fontId="25" fillId="14" borderId="16" xfId="0" applyNumberFormat="1" applyFont="1" applyFill="1" applyBorder="1" applyAlignment="1">
      <alignment horizontal="center"/>
    </xf>
    <xf numFmtId="3" fontId="25" fillId="14" borderId="16" xfId="0" applyNumberFormat="1" applyFont="1" applyFill="1" applyBorder="1" applyAlignment="1">
      <alignment horizontal="center" vertical="center"/>
    </xf>
    <xf numFmtId="3" fontId="57" fillId="14" borderId="16" xfId="0" applyNumberFormat="1" applyFont="1" applyFill="1" applyBorder="1" applyAlignment="1">
      <alignment horizontal="center"/>
    </xf>
    <xf numFmtId="165" fontId="57" fillId="13" borderId="16" xfId="0" applyNumberFormat="1" applyFont="1" applyFill="1" applyBorder="1" applyAlignment="1" applyProtection="1">
      <alignment horizontal="center"/>
      <protection locked="0"/>
    </xf>
    <xf numFmtId="3" fontId="25" fillId="0" borderId="16" xfId="0" applyNumberFormat="1" applyFont="1" applyBorder="1" applyAlignment="1">
      <alignment horizontal="center"/>
    </xf>
    <xf numFmtId="3" fontId="25" fillId="4" borderId="16" xfId="0" applyNumberFormat="1" applyFont="1" applyFill="1" applyBorder="1" applyAlignment="1">
      <alignment horizontal="center"/>
    </xf>
    <xf numFmtId="165" fontId="25" fillId="15" borderId="16" xfId="0" applyNumberFormat="1" applyFont="1" applyFill="1" applyBorder="1" applyAlignment="1" applyProtection="1">
      <alignment horizontal="center"/>
      <protection locked="0"/>
    </xf>
    <xf numFmtId="0" fontId="14" fillId="6" borderId="6" xfId="0" applyFont="1" applyFill="1" applyBorder="1" applyAlignment="1">
      <alignment horizontal="center"/>
    </xf>
    <xf numFmtId="0" fontId="14" fillId="6" borderId="7" xfId="0" applyFont="1" applyFill="1" applyBorder="1" applyAlignment="1">
      <alignment horizontal="center"/>
    </xf>
    <xf numFmtId="0" fontId="14" fillId="6" borderId="8" xfId="0" applyFont="1" applyFill="1" applyBorder="1" applyAlignment="1">
      <alignment horizontal="center"/>
    </xf>
    <xf numFmtId="0" fontId="14" fillId="6" borderId="26" xfId="0" applyFont="1" applyFill="1" applyBorder="1" applyAlignment="1">
      <alignment horizontal="center"/>
    </xf>
    <xf numFmtId="0" fontId="14" fillId="6" borderId="9" xfId="0" applyFont="1" applyFill="1" applyBorder="1" applyAlignment="1">
      <alignment horizontal="center"/>
    </xf>
    <xf numFmtId="0" fontId="14" fillId="6" borderId="27" xfId="0" applyFont="1" applyFill="1" applyBorder="1" applyAlignment="1">
      <alignment horizontal="center"/>
    </xf>
    <xf numFmtId="0" fontId="26" fillId="7" borderId="6" xfId="0" applyFont="1" applyFill="1" applyBorder="1" applyAlignment="1">
      <alignment horizontal="center"/>
    </xf>
    <xf numFmtId="0" fontId="26" fillId="7" borderId="7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</cellXfs>
  <cellStyles count="26">
    <cellStyle name="Comma" xfId="23" builtinId="3"/>
    <cellStyle name="Comma 2" xfId="4" xr:uid="{00000000-0005-0000-0000-000001000000}"/>
    <cellStyle name="Comma 3" xfId="8" xr:uid="{00000000-0005-0000-0000-000002000000}"/>
    <cellStyle name="Comma 3 2" xfId="12" xr:uid="{00000000-0005-0000-0000-000003000000}"/>
    <cellStyle name="Comma 3 3" xfId="16" xr:uid="{00000000-0005-0000-0000-000004000000}"/>
    <cellStyle name="Comma 3 3 2" xfId="20" xr:uid="{00000000-0005-0000-0000-000005000000}"/>
    <cellStyle name="Currency" xfId="1" builtinId="4"/>
    <cellStyle name="Currency 2" xfId="5" xr:uid="{00000000-0005-0000-0000-000007000000}"/>
    <cellStyle name="Currency 3" xfId="9" xr:uid="{00000000-0005-0000-0000-000008000000}"/>
    <cellStyle name="Currency 3 2" xfId="13" xr:uid="{00000000-0005-0000-0000-000009000000}"/>
    <cellStyle name="Currency 3 3" xfId="17" xr:uid="{00000000-0005-0000-0000-00000A000000}"/>
    <cellStyle name="Currency 3 3 2" xfId="21" xr:uid="{00000000-0005-0000-0000-00000B000000}"/>
    <cellStyle name="Followed Hyperlink" xfId="25" builtinId="9" hidden="1"/>
    <cellStyle name="Hyperlink" xfId="24" builtinId="8" hidden="1"/>
    <cellStyle name="Normal" xfId="0" builtinId="0"/>
    <cellStyle name="Normal 2" xfId="3" xr:uid="{00000000-0005-0000-0000-00000F000000}"/>
    <cellStyle name="Normal 3" xfId="7" xr:uid="{00000000-0005-0000-0000-000010000000}"/>
    <cellStyle name="Normal 3 2" xfId="11" xr:uid="{00000000-0005-0000-0000-000011000000}"/>
    <cellStyle name="Normal 3 3" xfId="15" xr:uid="{00000000-0005-0000-0000-000012000000}"/>
    <cellStyle name="Normal 3 3 2" xfId="19" xr:uid="{00000000-0005-0000-0000-000013000000}"/>
    <cellStyle name="Percent" xfId="2" builtinId="5"/>
    <cellStyle name="Percent 2" xfId="6" xr:uid="{00000000-0005-0000-0000-000015000000}"/>
    <cellStyle name="Percent 3" xfId="10" xr:uid="{00000000-0005-0000-0000-000016000000}"/>
    <cellStyle name="Percent 3 2" xfId="14" xr:uid="{00000000-0005-0000-0000-000017000000}"/>
    <cellStyle name="Percent 3 3" xfId="18" xr:uid="{00000000-0005-0000-0000-000018000000}"/>
    <cellStyle name="Percent 3 3 2" xfId="22" xr:uid="{00000000-0005-0000-0000-000019000000}"/>
  </cellStyles>
  <dxfs count="0"/>
  <tableStyles count="0" defaultTableStyle="TableStyleMedium9" defaultPivotStyle="PivotStyleLight16"/>
  <colors>
    <mruColors>
      <color rgb="FFE4F1F9"/>
      <color rgb="FF404040"/>
      <color rgb="FF3C94DC"/>
      <color rgb="FFFFFECC"/>
      <color rgb="FF2566B1"/>
      <color rgb="FF0065C1"/>
      <color rgb="FF71B1E5"/>
      <color rgb="FF6699FF"/>
      <color rgb="FFFFFF6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6" name="Ink 35">
              <a:extLst>
                <a:ext uri="{FF2B5EF4-FFF2-40B4-BE49-F238E27FC236}">
                  <a16:creationId xmlns:a16="http://schemas.microsoft.com/office/drawing/2014/main" id="{00000000-0008-0000-0000-000024000000}"/>
                </a:ext>
              </a:extLst>
            </xdr14:cNvPr>
            <xdr14:cNvContentPartPr/>
          </xdr14:nvContentPartPr>
          <xdr14:nvPr macro=""/>
          <xdr14:xfrm>
            <a:off x="0" y="0"/>
            <a:ext cx="0" cy="0"/>
          </xdr14:xfrm>
        </xdr:contentPart>
      </mc:Choice>
      <mc:Fallback xmlns="">
        <xdr:pic>
          <xdr:nvPicPr>
            <xdr:cNvPr id="36" name="Ink 35">
              <a:extLst>
                <a:ext uri="{FF2B5EF4-FFF2-40B4-BE49-F238E27FC236}">
                  <a16:creationId xmlns:a16="http://schemas.microsoft.com/office/drawing/2014/main" id="{A59874E6-D8C1-4C93-A4E9-6E9F4E5C0CB5}"/>
                </a:ext>
              </a:extLst>
            </xdr:cNvPr>
            <xdr:cNvPicPr/>
          </xdr:nvPicPr>
          <xdr:blipFill/>
          <xdr:spPr/>
        </xdr:pic>
      </mc:Fallback>
    </mc:AlternateContent>
    <xdr:clientData/>
  </xdr:twoCellAnchor>
  <xdr:twoCellAnchor>
    <xdr:from>
      <xdr:col>4</xdr:col>
      <xdr:colOff>7937</xdr:colOff>
      <xdr:row>2</xdr:row>
      <xdr:rowOff>119062</xdr:rowOff>
    </xdr:from>
    <xdr:to>
      <xdr:col>4</xdr:col>
      <xdr:colOff>253999</xdr:colOff>
      <xdr:row>2</xdr:row>
      <xdr:rowOff>119062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5365750" y="595312"/>
          <a:ext cx="246062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15875</xdr:colOff>
      <xdr:row>3</xdr:row>
      <xdr:rowOff>111125</xdr:rowOff>
    </xdr:from>
    <xdr:to>
      <xdr:col>4</xdr:col>
      <xdr:colOff>261937</xdr:colOff>
      <xdr:row>3</xdr:row>
      <xdr:rowOff>111125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H="1">
          <a:off x="5373688" y="777875"/>
          <a:ext cx="246062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</xdr:colOff>
      <xdr:row>6</xdr:row>
      <xdr:rowOff>96838</xdr:rowOff>
    </xdr:from>
    <xdr:to>
      <xdr:col>4</xdr:col>
      <xdr:colOff>271462</xdr:colOff>
      <xdr:row>6</xdr:row>
      <xdr:rowOff>96838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 flipH="1">
          <a:off x="5383213" y="1335088"/>
          <a:ext cx="246062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26987</xdr:colOff>
      <xdr:row>9</xdr:row>
      <xdr:rowOff>122238</xdr:rowOff>
    </xdr:from>
    <xdr:to>
      <xdr:col>4</xdr:col>
      <xdr:colOff>273049</xdr:colOff>
      <xdr:row>9</xdr:row>
      <xdr:rowOff>122238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 flipH="1">
          <a:off x="5384800" y="1947863"/>
          <a:ext cx="246062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36512</xdr:colOff>
      <xdr:row>4</xdr:row>
      <xdr:rowOff>115888</xdr:rowOff>
    </xdr:from>
    <xdr:to>
      <xdr:col>13</xdr:col>
      <xdr:colOff>381000</xdr:colOff>
      <xdr:row>4</xdr:row>
      <xdr:rowOff>115888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flipH="1">
          <a:off x="12553950" y="973138"/>
          <a:ext cx="344488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39688</xdr:colOff>
      <xdr:row>5</xdr:row>
      <xdr:rowOff>103188</xdr:rowOff>
    </xdr:from>
    <xdr:to>
      <xdr:col>13</xdr:col>
      <xdr:colOff>388937</xdr:colOff>
      <xdr:row>5</xdr:row>
      <xdr:rowOff>103188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 flipH="1">
          <a:off x="12557126" y="1150938"/>
          <a:ext cx="349249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49213</xdr:colOff>
      <xdr:row>6</xdr:row>
      <xdr:rowOff>120651</xdr:rowOff>
    </xdr:from>
    <xdr:to>
      <xdr:col>13</xdr:col>
      <xdr:colOff>246062</xdr:colOff>
      <xdr:row>6</xdr:row>
      <xdr:rowOff>120651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 flipH="1">
          <a:off x="11852276" y="1358901"/>
          <a:ext cx="911224" cy="0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662781</xdr:colOff>
      <xdr:row>15</xdr:row>
      <xdr:rowOff>138908</xdr:rowOff>
    </xdr:from>
    <xdr:to>
      <xdr:col>4</xdr:col>
      <xdr:colOff>662781</xdr:colOff>
      <xdr:row>25</xdr:row>
      <xdr:rowOff>166688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CxnSpPr/>
      </xdr:nvCxnSpPr>
      <xdr:spPr>
        <a:xfrm flipV="1">
          <a:off x="6020594" y="3123408"/>
          <a:ext cx="0" cy="2075655"/>
        </a:xfrm>
        <a:prstGeom prst="straightConnector1">
          <a:avLst/>
        </a:prstGeom>
        <a:ln w="28575">
          <a:solidFill>
            <a:srgbClr val="3C94DC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7amill/AppData/Local/Microsoft/Windows/Temporary%20Internet%20Files/Content.Outlook/AKG4U9OV/GP%20per%20man-day%2003.12%20V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hared%20Folders/Documents/Goettl%20-Good%20Guys-Sunny%20Plumber/Pricing%20Systems/AOR-Replacement%20Pricing%20math%20variables%20%2004%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tem Variabl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tem Variables"/>
    </sheetNames>
    <sheetDataSet>
      <sheetData sheetId="0" refreshError="1"/>
    </sheetDataSet>
  </externalBook>
</externalLink>
</file>

<file path=xl/ink/ink1.xml><?xml version="1.0" encoding="utf-8"?>
<inkml:ink xmlns:inkml="http://www.w3.org/2003/InkML">
  <inkml:definitions/>
  <inkml:traceGroup>
    <inkml:annotationXML>
      <emma:emma xmlns:emma="http://www.w3.org/2003/04/emma" version="1.0">
        <emma:interpretation id="{402145C8-15F7-431D-8CB0-FE4989B24961}" emma:medium="tactile" emma:mode="ink">
          <msink:context xmlns:msink="http://schemas.microsoft.com/ink/2010/main" type="writingRegion" rotatedBoundingBox="4533,7405 6533,7405 6533,8680 4533,8680"/>
        </emma:interpretation>
      </emma:emma>
    </inkml:annotationXML>
    <inkml:traceGroup>
      <inkml:annotationXML>
        <emma:emma xmlns:emma="http://www.w3.org/2003/04/emma" version="1.0">
          <emma:interpretation id="{359A505A-856E-4C42-825D-B93360BF2850}" emma:medium="tactile" emma:mode="ink">
            <msink:context xmlns:msink="http://schemas.microsoft.com/ink/2010/main" type="paragraph" rotatedBoundingBox="4533,7405 6533,7405 6533,8680 4533,8680" alignmentLevel="1"/>
          </emma:interpretation>
        </emma:emma>
      </inkml:annotationXML>
      <inkml:traceGroup>
        <inkml:annotationXML>
          <emma:emma xmlns:emma="http://www.w3.org/2003/04/emma" version="1.0">
            <emma:interpretation id="{5203EB60-4E95-4AB3-BB9A-768474E023A8}" emma:medium="tactile" emma:mode="ink">
              <msink:context xmlns:msink="http://schemas.microsoft.com/ink/2010/main" type="line" rotatedBoundingBox="4533,7405 6533,7405 6533,8680 4533,8680"/>
            </emma:interpretation>
          </emma:emma>
        </inkml:annotationXML>
        <inkml:traceGroup>
          <inkml:annotationXML>
            <emma:emma xmlns:emma="http://www.w3.org/2003/04/emma" version="1.0">
              <emma:interpretation id="{39C0348D-EC00-4E91-B07E-97F0D8574BFD}" emma:medium="tactile" emma:mode="ink">
                <msink:context xmlns:msink="http://schemas.microsoft.com/ink/2010/main" type="inkWord" rotatedBoundingBox="4533,7405 6533,7405 6533,8680 4533,8680"/>
              </emma:interpretation>
              <emma:one-of disjunction-type="recognition" id="oneOf0">
                <emma:interpretation id="interp0" emma:lang="" emma:confidence="1">
                  <emma:literal>7</emma:literal>
                </emma:interpretation>
                <emma:interpretation id="interp1" emma:lang="" emma:confidence="0">
                  <emma:literal>&gt;</emma:literal>
                </emma:interpretation>
                <emma:interpretation id="interp2" emma:lang="" emma:confidence="0">
                  <emma:literal>)</emma:literal>
                </emma:interpretation>
                <emma:interpretation id="interp3" emma:lang="" emma:confidence="0">
                  <emma:literal>•</emma:literal>
                </emma:interpretation>
                <emma:interpretation id="interp4" emma:lang="" emma:confidence="0">
                  <emma:literal>,</emma:literal>
                </emma:interpretation>
              </emma:one-of>
            </emma:emma>
          </inkml:annotationXML>
        </inkml:traceGroup>
      </inkml:traceGroup>
    </inkml:traceGroup>
  </inkml:traceGroup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V65"/>
  <sheetViews>
    <sheetView showGridLines="0" tabSelected="1" topLeftCell="C1" zoomScaleNormal="100" zoomScalePageLayoutView="82" workbookViewId="0">
      <selection activeCell="N21" sqref="N21"/>
    </sheetView>
  </sheetViews>
  <sheetFormatPr defaultColWidth="8.88671875" defaultRowHeight="14.4" x14ac:dyDescent="0.3"/>
  <cols>
    <col min="2" max="2" width="21.44140625" customWidth="1"/>
    <col min="3" max="3" width="27.44140625" style="6" customWidth="1"/>
    <col min="4" max="4" width="22.44140625" style="6" customWidth="1"/>
    <col min="5" max="5" width="10.6640625" style="6" customWidth="1"/>
    <col min="6" max="7" width="10.6640625" customWidth="1"/>
    <col min="8" max="8" width="15.33203125" customWidth="1"/>
    <col min="9" max="10" width="10.6640625" customWidth="1"/>
    <col min="11" max="11" width="17.109375" style="1" customWidth="1"/>
    <col min="12" max="15" width="10.6640625" customWidth="1"/>
    <col min="16" max="16" width="13" customWidth="1"/>
  </cols>
  <sheetData>
    <row r="1" spans="1:22" ht="22.5" customHeight="1" x14ac:dyDescent="0.3">
      <c r="A1" s="89" t="s">
        <v>0</v>
      </c>
      <c r="B1" s="90" t="s">
        <v>1</v>
      </c>
      <c r="C1" s="91"/>
      <c r="D1" s="91"/>
      <c r="E1" s="91"/>
      <c r="F1" s="92"/>
      <c r="G1" s="92"/>
      <c r="H1" s="33"/>
      <c r="I1" s="34"/>
      <c r="J1" s="34"/>
      <c r="K1" s="35"/>
      <c r="L1" s="34"/>
      <c r="M1" s="34"/>
      <c r="N1" s="34"/>
      <c r="O1" s="34"/>
      <c r="P1" s="28"/>
      <c r="Q1" s="28"/>
      <c r="R1" s="28"/>
      <c r="S1" s="28"/>
      <c r="T1" s="28"/>
      <c r="U1" s="28"/>
    </row>
    <row r="2" spans="1:22" x14ac:dyDescent="0.3">
      <c r="A2" s="34"/>
      <c r="B2" s="37"/>
      <c r="C2" s="38"/>
      <c r="D2" s="38"/>
      <c r="E2" s="38"/>
      <c r="F2" s="34"/>
      <c r="G2" s="34"/>
      <c r="H2" s="34"/>
      <c r="I2" s="34"/>
      <c r="J2" s="34"/>
      <c r="K2" s="35"/>
      <c r="L2" s="34"/>
      <c r="M2" s="34"/>
      <c r="N2" s="34"/>
      <c r="O2" s="34"/>
      <c r="P2" s="28"/>
      <c r="Q2" s="28"/>
      <c r="R2" s="28"/>
      <c r="S2" s="28"/>
      <c r="T2" s="28"/>
      <c r="U2" s="28"/>
    </row>
    <row r="3" spans="1:22" x14ac:dyDescent="0.3">
      <c r="A3" s="34"/>
      <c r="B3" s="117" t="s">
        <v>2</v>
      </c>
      <c r="C3" s="84" t="s">
        <v>3</v>
      </c>
      <c r="D3" s="74">
        <v>1</v>
      </c>
      <c r="E3" s="108" t="s">
        <v>4</v>
      </c>
      <c r="F3" s="105"/>
      <c r="G3" s="105"/>
      <c r="H3" s="105"/>
      <c r="I3" s="85"/>
      <c r="J3" s="86"/>
      <c r="K3" s="71"/>
      <c r="L3" s="101" t="s">
        <v>5</v>
      </c>
      <c r="M3" s="101" t="s">
        <v>6</v>
      </c>
      <c r="N3" s="49"/>
      <c r="O3" s="49"/>
      <c r="P3" s="72"/>
      <c r="Q3" s="72"/>
      <c r="R3" s="72"/>
      <c r="S3" s="28"/>
      <c r="T3" s="28"/>
      <c r="U3" s="28"/>
    </row>
    <row r="4" spans="1:22" x14ac:dyDescent="0.3">
      <c r="A4" s="34"/>
      <c r="B4" s="49"/>
      <c r="C4" s="82" t="s">
        <v>7</v>
      </c>
      <c r="D4" s="75">
        <f>(50*5)-6</f>
        <v>244</v>
      </c>
      <c r="E4" s="108" t="s">
        <v>8</v>
      </c>
      <c r="F4" s="105"/>
      <c r="G4" s="105"/>
      <c r="H4" s="105"/>
      <c r="I4" s="85"/>
      <c r="J4" s="86"/>
      <c r="K4" s="93" t="s">
        <v>9</v>
      </c>
      <c r="L4" s="112">
        <v>0.7</v>
      </c>
      <c r="M4" s="51">
        <f>D8*L4</f>
        <v>111.02</v>
      </c>
      <c r="N4" s="49"/>
      <c r="O4" s="49"/>
      <c r="P4" s="72"/>
      <c r="Q4" s="72"/>
      <c r="R4" s="72"/>
      <c r="S4" s="28"/>
      <c r="T4" s="28"/>
      <c r="U4" s="28"/>
    </row>
    <row r="5" spans="1:22" x14ac:dyDescent="0.3">
      <c r="A5" s="34"/>
      <c r="B5" s="49"/>
      <c r="C5" s="82" t="s">
        <v>10</v>
      </c>
      <c r="D5" s="50">
        <f>D4*D3</f>
        <v>244</v>
      </c>
      <c r="E5" s="109">
        <f>D5/12</f>
        <v>20.333333333333332</v>
      </c>
      <c r="F5" s="105" t="s">
        <v>11</v>
      </c>
      <c r="G5" s="105"/>
      <c r="H5" s="105"/>
      <c r="I5" s="85"/>
      <c r="J5" s="86"/>
      <c r="K5" s="93" t="s">
        <v>12</v>
      </c>
      <c r="L5" s="113">
        <v>0.3</v>
      </c>
      <c r="M5" s="51">
        <f>(D8-M4)/0.5</f>
        <v>95.16</v>
      </c>
      <c r="N5" s="105" t="s">
        <v>13</v>
      </c>
      <c r="O5" s="105"/>
      <c r="P5" s="88"/>
      <c r="Q5" s="88"/>
      <c r="R5" s="88"/>
      <c r="S5" s="28"/>
      <c r="T5" s="28"/>
      <c r="U5" s="28"/>
    </row>
    <row r="6" spans="1:22" x14ac:dyDescent="0.3">
      <c r="A6" s="34"/>
      <c r="B6" s="32"/>
      <c r="C6" s="48"/>
      <c r="D6" s="51"/>
      <c r="E6" s="110"/>
      <c r="F6" s="107"/>
      <c r="G6" s="107"/>
      <c r="H6" s="107"/>
      <c r="I6" s="34"/>
      <c r="J6" s="49"/>
      <c r="K6" s="93" t="s">
        <v>14</v>
      </c>
      <c r="L6" s="114">
        <f>SUM(L4:L5)</f>
        <v>1</v>
      </c>
      <c r="M6" s="53">
        <f>SUM(M4:M5)</f>
        <v>206.18</v>
      </c>
      <c r="N6" s="105" t="s">
        <v>15</v>
      </c>
      <c r="O6" s="105"/>
      <c r="P6" s="88"/>
      <c r="Q6" s="88"/>
      <c r="R6" s="88"/>
      <c r="S6" s="28"/>
      <c r="T6" s="28"/>
      <c r="U6" s="28"/>
    </row>
    <row r="7" spans="1:22" ht="15" thickBot="1" x14ac:dyDescent="0.35">
      <c r="A7" s="34"/>
      <c r="B7" s="49"/>
      <c r="C7" s="82" t="s">
        <v>16</v>
      </c>
      <c r="D7" s="76">
        <v>0.65</v>
      </c>
      <c r="E7" s="108" t="s">
        <v>17</v>
      </c>
      <c r="F7" s="105"/>
      <c r="G7" s="105"/>
      <c r="H7" s="105"/>
      <c r="I7" s="34"/>
      <c r="J7" s="97"/>
      <c r="K7" s="96" t="s">
        <v>18</v>
      </c>
      <c r="L7" s="115">
        <f>P19/M6</f>
        <v>3819.0755650402562</v>
      </c>
      <c r="M7" s="106" t="s">
        <v>19</v>
      </c>
      <c r="N7" s="105"/>
      <c r="O7" s="105"/>
      <c r="P7" s="88"/>
      <c r="Q7" s="88"/>
      <c r="R7" s="88"/>
      <c r="S7" s="28"/>
      <c r="T7" s="28"/>
      <c r="U7" s="28"/>
    </row>
    <row r="8" spans="1:22" ht="15" thickBot="1" x14ac:dyDescent="0.35">
      <c r="A8" s="34"/>
      <c r="B8" s="52"/>
      <c r="C8" s="82" t="s">
        <v>20</v>
      </c>
      <c r="D8" s="53">
        <f>D5*D7</f>
        <v>158.6</v>
      </c>
      <c r="E8" s="109">
        <f>D8/12</f>
        <v>13.216666666666667</v>
      </c>
      <c r="F8" s="105" t="s">
        <v>21</v>
      </c>
      <c r="G8" s="105"/>
      <c r="H8" s="105"/>
      <c r="I8" s="34"/>
      <c r="J8" s="80" t="s">
        <v>22</v>
      </c>
      <c r="K8" s="87"/>
      <c r="L8" s="79">
        <f>+((P16/D8))</f>
        <v>3020.4854981084491</v>
      </c>
      <c r="M8" s="34"/>
      <c r="N8" s="34"/>
      <c r="O8" s="34"/>
      <c r="P8" s="28"/>
      <c r="Q8" s="28"/>
      <c r="R8" s="28"/>
      <c r="S8" s="28"/>
      <c r="T8" s="28"/>
      <c r="U8" s="28"/>
    </row>
    <row r="9" spans="1:22" x14ac:dyDescent="0.3">
      <c r="A9" s="34"/>
      <c r="B9" s="49"/>
      <c r="C9" s="82" t="s">
        <v>23</v>
      </c>
      <c r="D9" s="54">
        <f>P19/D8</f>
        <v>4964.7982345523333</v>
      </c>
      <c r="E9" s="111">
        <f>+(D5-D8)</f>
        <v>85.4</v>
      </c>
      <c r="F9" s="105" t="s">
        <v>24</v>
      </c>
      <c r="G9" s="105"/>
      <c r="H9" s="105"/>
      <c r="I9" s="34"/>
      <c r="J9" s="116"/>
      <c r="K9" s="98" t="s">
        <v>25</v>
      </c>
      <c r="L9" s="78">
        <v>0.4</v>
      </c>
      <c r="M9" s="58" t="s">
        <v>26</v>
      </c>
      <c r="N9" s="58" t="s">
        <v>27</v>
      </c>
      <c r="O9" s="34"/>
      <c r="P9" s="28"/>
      <c r="Q9" s="28"/>
      <c r="R9" s="28"/>
      <c r="S9" s="28"/>
      <c r="T9" s="28"/>
      <c r="U9" s="28"/>
    </row>
    <row r="10" spans="1:22" x14ac:dyDescent="0.3">
      <c r="A10" s="34"/>
      <c r="B10" s="49"/>
      <c r="C10" s="82" t="s">
        <v>28</v>
      </c>
      <c r="D10" s="54">
        <f>D9/16+'System Variables'!$B$50*(1+'System Variables'!$B$49)</f>
        <v>346.69988965952081</v>
      </c>
      <c r="E10" s="108" t="s">
        <v>29</v>
      </c>
      <c r="F10" s="105"/>
      <c r="G10" s="105"/>
      <c r="H10" s="105"/>
      <c r="I10" s="34"/>
      <c r="J10" s="99"/>
      <c r="K10" s="93" t="s">
        <v>30</v>
      </c>
      <c r="L10" s="53">
        <f>M6/L9</f>
        <v>515.44999999999993</v>
      </c>
      <c r="M10" s="73">
        <f>L10/12</f>
        <v>42.954166666666659</v>
      </c>
      <c r="N10" s="73">
        <f>L10/D4</f>
        <v>2.1124999999999998</v>
      </c>
      <c r="O10" s="34"/>
      <c r="P10" s="28"/>
      <c r="Q10" s="28"/>
      <c r="R10" s="28"/>
      <c r="S10" s="28"/>
      <c r="T10" s="28"/>
      <c r="U10" s="28"/>
    </row>
    <row r="11" spans="1:22" ht="15" thickBot="1" x14ac:dyDescent="0.35">
      <c r="A11" s="44"/>
      <c r="B11" s="55"/>
      <c r="C11" s="56"/>
      <c r="D11" s="56"/>
      <c r="E11" s="45"/>
      <c r="F11" s="44"/>
      <c r="G11" s="44"/>
      <c r="H11" s="44"/>
      <c r="I11" s="44"/>
      <c r="J11" s="44"/>
      <c r="K11" s="46"/>
      <c r="L11" s="44"/>
      <c r="M11" s="44"/>
      <c r="N11" s="44"/>
      <c r="O11" s="44"/>
      <c r="P11" s="31"/>
      <c r="Q11" s="31"/>
      <c r="R11" s="31"/>
      <c r="S11" s="31"/>
      <c r="T11" s="28"/>
      <c r="U11" s="28"/>
    </row>
    <row r="12" spans="1:22" x14ac:dyDescent="0.3">
      <c r="A12" s="34"/>
      <c r="B12" s="32"/>
      <c r="C12" s="57"/>
      <c r="D12" s="57"/>
      <c r="E12" s="38"/>
      <c r="F12" s="34"/>
      <c r="G12" s="34"/>
      <c r="H12" s="34"/>
      <c r="I12" s="34"/>
      <c r="J12" s="34"/>
      <c r="K12" s="35"/>
      <c r="L12" s="34"/>
      <c r="M12" s="34"/>
      <c r="N12" s="34"/>
      <c r="O12" s="34"/>
      <c r="P12" s="28"/>
      <c r="Q12" s="28"/>
      <c r="R12" s="28"/>
      <c r="S12" s="28"/>
      <c r="T12" s="28"/>
      <c r="U12" s="28"/>
    </row>
    <row r="13" spans="1:22" x14ac:dyDescent="0.3">
      <c r="A13" s="34"/>
      <c r="B13" s="117" t="s">
        <v>31</v>
      </c>
      <c r="C13" s="100"/>
      <c r="D13" s="94" t="s">
        <v>32</v>
      </c>
      <c r="E13" s="94" t="s">
        <v>33</v>
      </c>
      <c r="F13" s="94" t="s">
        <v>34</v>
      </c>
      <c r="G13" s="94" t="s">
        <v>35</v>
      </c>
      <c r="H13" s="94" t="s">
        <v>36</v>
      </c>
      <c r="I13" s="94" t="s">
        <v>37</v>
      </c>
      <c r="J13" s="94" t="s">
        <v>38</v>
      </c>
      <c r="K13" s="94" t="s">
        <v>39</v>
      </c>
      <c r="L13" s="94" t="s">
        <v>40</v>
      </c>
      <c r="M13" s="94" t="s">
        <v>41</v>
      </c>
      <c r="N13" s="94" t="s">
        <v>42</v>
      </c>
      <c r="O13" s="94" t="s">
        <v>43</v>
      </c>
      <c r="P13" s="95" t="s">
        <v>44</v>
      </c>
      <c r="Q13" s="28"/>
      <c r="R13" s="28"/>
      <c r="S13" s="28"/>
      <c r="T13" s="28"/>
      <c r="U13" s="28"/>
    </row>
    <row r="14" spans="1:22" ht="15.6" x14ac:dyDescent="0.3">
      <c r="A14" s="34"/>
      <c r="B14" s="49"/>
      <c r="C14" s="83" t="s">
        <v>45</v>
      </c>
      <c r="D14" s="289">
        <v>133104</v>
      </c>
      <c r="E14" s="289">
        <v>68843</v>
      </c>
      <c r="F14" s="289">
        <v>37419</v>
      </c>
      <c r="G14" s="286">
        <v>182577</v>
      </c>
      <c r="H14" s="293">
        <v>208791</v>
      </c>
      <c r="I14" s="296">
        <v>174470</v>
      </c>
      <c r="J14" s="285">
        <v>178887</v>
      </c>
      <c r="K14" s="77">
        <v>175000</v>
      </c>
      <c r="L14" s="77">
        <v>115500</v>
      </c>
      <c r="M14" s="77">
        <v>129500</v>
      </c>
      <c r="N14" s="77">
        <v>156800</v>
      </c>
      <c r="O14" s="77">
        <v>105000</v>
      </c>
      <c r="P14" s="62">
        <f>SUM(D14:O14)</f>
        <v>1665891</v>
      </c>
      <c r="Q14" s="102" t="s">
        <v>46</v>
      </c>
      <c r="R14" s="103"/>
      <c r="S14" s="103"/>
      <c r="T14" s="103"/>
      <c r="U14" s="103"/>
      <c r="V14" s="104"/>
    </row>
    <row r="15" spans="1:22" x14ac:dyDescent="0.3">
      <c r="A15" s="34"/>
      <c r="B15" s="49"/>
      <c r="C15" s="82" t="s">
        <v>47</v>
      </c>
      <c r="D15" s="77">
        <v>70200</v>
      </c>
      <c r="E15" s="77">
        <v>44100</v>
      </c>
      <c r="F15" s="77">
        <v>37800</v>
      </c>
      <c r="G15" s="286">
        <v>59182</v>
      </c>
      <c r="H15" s="77">
        <v>86625</v>
      </c>
      <c r="I15" s="77">
        <v>94500</v>
      </c>
      <c r="J15" s="77">
        <v>88200</v>
      </c>
      <c r="K15" s="77">
        <v>78750</v>
      </c>
      <c r="L15" s="77">
        <v>51975</v>
      </c>
      <c r="M15" s="77">
        <v>58275</v>
      </c>
      <c r="N15" s="77">
        <v>70560</v>
      </c>
      <c r="O15" s="77">
        <v>47250</v>
      </c>
      <c r="P15" s="62">
        <f>SUM(D15:O15)</f>
        <v>787417</v>
      </c>
      <c r="Q15" s="28"/>
      <c r="R15" s="28"/>
      <c r="S15" s="28"/>
      <c r="T15" s="28"/>
      <c r="U15" s="28"/>
    </row>
    <row r="16" spans="1:22" x14ac:dyDescent="0.3">
      <c r="A16" s="34"/>
      <c r="B16" s="49"/>
      <c r="C16" s="82" t="s">
        <v>48</v>
      </c>
      <c r="D16" s="77">
        <v>41184</v>
      </c>
      <c r="E16" s="77">
        <v>25872</v>
      </c>
      <c r="F16" s="77">
        <v>22176</v>
      </c>
      <c r="G16" s="287">
        <v>51950</v>
      </c>
      <c r="H16" s="77">
        <v>50820</v>
      </c>
      <c r="I16" s="77">
        <v>55440</v>
      </c>
      <c r="J16" s="77">
        <v>51744</v>
      </c>
      <c r="K16" s="77">
        <v>46200</v>
      </c>
      <c r="L16" s="77">
        <v>30360</v>
      </c>
      <c r="M16" s="77">
        <v>34188</v>
      </c>
      <c r="N16" s="77">
        <v>41395</v>
      </c>
      <c r="O16" s="77">
        <v>27720</v>
      </c>
      <c r="P16" s="62">
        <f>SUM(D16:O16)</f>
        <v>479049</v>
      </c>
      <c r="Q16" s="28"/>
      <c r="R16" s="28"/>
      <c r="S16" s="28"/>
      <c r="T16" s="28"/>
      <c r="U16" s="28"/>
    </row>
    <row r="17" spans="1:21" x14ac:dyDescent="0.3">
      <c r="A17" s="34"/>
      <c r="B17" s="49"/>
      <c r="C17" s="82" t="s">
        <v>49</v>
      </c>
      <c r="D17" s="54">
        <f t="shared" ref="D17:O17" si="0">D15-D16</f>
        <v>29016</v>
      </c>
      <c r="E17" s="54">
        <f t="shared" si="0"/>
        <v>18228</v>
      </c>
      <c r="F17" s="54">
        <f t="shared" si="0"/>
        <v>15624</v>
      </c>
      <c r="G17" s="288">
        <f t="shared" si="0"/>
        <v>7232</v>
      </c>
      <c r="H17" s="54">
        <f t="shared" si="0"/>
        <v>35805</v>
      </c>
      <c r="I17" s="54">
        <f t="shared" si="0"/>
        <v>39060</v>
      </c>
      <c r="J17" s="54">
        <f t="shared" si="0"/>
        <v>36456</v>
      </c>
      <c r="K17" s="54">
        <f t="shared" si="0"/>
        <v>32550</v>
      </c>
      <c r="L17" s="54">
        <f t="shared" si="0"/>
        <v>21615</v>
      </c>
      <c r="M17" s="54">
        <f t="shared" si="0"/>
        <v>24087</v>
      </c>
      <c r="N17" s="54">
        <f t="shared" si="0"/>
        <v>29165</v>
      </c>
      <c r="O17" s="54">
        <f t="shared" si="0"/>
        <v>19530</v>
      </c>
      <c r="P17" s="63">
        <f>SUM(D17:O17)</f>
        <v>308368</v>
      </c>
      <c r="Q17" s="28"/>
      <c r="R17" s="28"/>
      <c r="S17" s="28"/>
      <c r="T17" s="28"/>
      <c r="U17" s="28"/>
    </row>
    <row r="18" spans="1:21" x14ac:dyDescent="0.3">
      <c r="A18" s="34"/>
      <c r="B18" s="49"/>
      <c r="C18" s="57"/>
      <c r="D18" s="59"/>
      <c r="E18" s="64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65"/>
      <c r="Q18" s="28"/>
      <c r="R18" s="28"/>
      <c r="S18" s="28"/>
      <c r="T18" s="28"/>
      <c r="U18" s="28"/>
    </row>
    <row r="19" spans="1:21" x14ac:dyDescent="0.3">
      <c r="A19" s="34"/>
      <c r="B19" s="49"/>
      <c r="C19" s="82" t="s">
        <v>50</v>
      </c>
      <c r="D19" s="54">
        <f>D16+D17</f>
        <v>70200</v>
      </c>
      <c r="E19" s="66">
        <f t="shared" ref="E19:O19" si="1">E16+E17</f>
        <v>44100</v>
      </c>
      <c r="F19" s="54">
        <f t="shared" si="1"/>
        <v>37800</v>
      </c>
      <c r="G19" s="54">
        <f t="shared" si="1"/>
        <v>59182</v>
      </c>
      <c r="H19" s="54">
        <f t="shared" si="1"/>
        <v>86625</v>
      </c>
      <c r="I19" s="54">
        <f t="shared" si="1"/>
        <v>94500</v>
      </c>
      <c r="J19" s="54">
        <f t="shared" si="1"/>
        <v>88200</v>
      </c>
      <c r="K19" s="54">
        <f t="shared" si="1"/>
        <v>78750</v>
      </c>
      <c r="L19" s="54">
        <f t="shared" si="1"/>
        <v>51975</v>
      </c>
      <c r="M19" s="54">
        <f t="shared" si="1"/>
        <v>58275</v>
      </c>
      <c r="N19" s="54">
        <f t="shared" si="1"/>
        <v>70560</v>
      </c>
      <c r="O19" s="54">
        <f t="shared" si="1"/>
        <v>47250</v>
      </c>
      <c r="P19" s="63">
        <f>P16+P17</f>
        <v>787417</v>
      </c>
      <c r="Q19" s="28"/>
      <c r="R19" s="28"/>
      <c r="S19" s="28"/>
      <c r="T19" s="28"/>
      <c r="U19" s="28"/>
    </row>
    <row r="20" spans="1:21" x14ac:dyDescent="0.3">
      <c r="A20" s="34"/>
      <c r="B20" s="49"/>
      <c r="C20" s="81"/>
      <c r="D20" s="51"/>
      <c r="E20" s="48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7"/>
      <c r="Q20" s="28"/>
      <c r="R20" s="28"/>
      <c r="S20" s="28"/>
      <c r="T20" s="28"/>
      <c r="U20" s="28"/>
    </row>
    <row r="21" spans="1:21" x14ac:dyDescent="0.3">
      <c r="A21" s="34"/>
      <c r="B21" s="49"/>
      <c r="C21" s="82" t="s">
        <v>51</v>
      </c>
      <c r="D21" s="290">
        <v>11</v>
      </c>
      <c r="E21" s="291">
        <v>7</v>
      </c>
      <c r="F21" s="290">
        <v>5</v>
      </c>
      <c r="G21" s="292">
        <v>17</v>
      </c>
      <c r="H21" s="290">
        <v>12</v>
      </c>
      <c r="I21" s="295">
        <v>16</v>
      </c>
      <c r="J21" s="294">
        <v>12</v>
      </c>
      <c r="K21" s="50">
        <f t="shared" ref="K21:P21" si="2">IFERROR(ROUNDUP(K19/$L$7,0),0)</f>
        <v>21</v>
      </c>
      <c r="L21" s="50">
        <f t="shared" si="2"/>
        <v>14</v>
      </c>
      <c r="M21" s="50">
        <f t="shared" si="2"/>
        <v>16</v>
      </c>
      <c r="N21" s="50">
        <f t="shared" si="2"/>
        <v>19</v>
      </c>
      <c r="O21" s="50">
        <f t="shared" si="2"/>
        <v>13</v>
      </c>
      <c r="P21" s="69">
        <f t="shared" si="2"/>
        <v>207</v>
      </c>
      <c r="Q21" s="28"/>
      <c r="R21" s="28"/>
      <c r="S21" s="28"/>
      <c r="T21" s="28"/>
      <c r="U21" s="28"/>
    </row>
    <row r="22" spans="1:21" x14ac:dyDescent="0.3">
      <c r="A22" s="34"/>
      <c r="B22" s="49"/>
      <c r="C22" s="82" t="s">
        <v>52</v>
      </c>
      <c r="D22" s="50">
        <f t="shared" ref="D22:P22" si="3">IFERROR(D21/$L$9,0)</f>
        <v>27.5</v>
      </c>
      <c r="E22" s="68">
        <f t="shared" si="3"/>
        <v>17.5</v>
      </c>
      <c r="F22" s="50">
        <f t="shared" si="3"/>
        <v>12.5</v>
      </c>
      <c r="G22" s="50">
        <f t="shared" si="3"/>
        <v>42.5</v>
      </c>
      <c r="H22" s="50">
        <f t="shared" si="3"/>
        <v>30</v>
      </c>
      <c r="I22" s="50">
        <f t="shared" si="3"/>
        <v>40</v>
      </c>
      <c r="J22" s="50">
        <f t="shared" si="3"/>
        <v>30</v>
      </c>
      <c r="K22" s="50">
        <f t="shared" si="3"/>
        <v>52.5</v>
      </c>
      <c r="L22" s="50">
        <f t="shared" si="3"/>
        <v>35</v>
      </c>
      <c r="M22" s="50">
        <f t="shared" si="3"/>
        <v>40</v>
      </c>
      <c r="N22" s="50">
        <f t="shared" si="3"/>
        <v>47.5</v>
      </c>
      <c r="O22" s="50">
        <f t="shared" si="3"/>
        <v>32.5</v>
      </c>
      <c r="P22" s="69">
        <f t="shared" si="3"/>
        <v>517.5</v>
      </c>
      <c r="Q22" s="28"/>
      <c r="R22" s="28"/>
      <c r="S22" s="28"/>
      <c r="T22" s="28"/>
      <c r="U22" s="28"/>
    </row>
    <row r="23" spans="1:21" x14ac:dyDescent="0.3">
      <c r="A23" s="34"/>
      <c r="B23" s="49"/>
      <c r="C23" s="82" t="s">
        <v>53</v>
      </c>
      <c r="D23" s="60">
        <f>+(D21/27)</f>
        <v>0.40740740740740738</v>
      </c>
      <c r="E23" s="70">
        <f>+(E21/25)</f>
        <v>0.28000000000000003</v>
      </c>
      <c r="F23" s="60">
        <f>+(F21/25)</f>
        <v>0.2</v>
      </c>
      <c r="G23" s="60">
        <f t="shared" ref="G23:O23" si="4">+(G21/21)</f>
        <v>0.80952380952380953</v>
      </c>
      <c r="H23" s="60">
        <f t="shared" si="4"/>
        <v>0.5714285714285714</v>
      </c>
      <c r="I23" s="60">
        <f t="shared" si="4"/>
        <v>0.76190476190476186</v>
      </c>
      <c r="J23" s="60">
        <f t="shared" si="4"/>
        <v>0.5714285714285714</v>
      </c>
      <c r="K23" s="60">
        <f t="shared" si="4"/>
        <v>1</v>
      </c>
      <c r="L23" s="60">
        <f t="shared" si="4"/>
        <v>0.66666666666666663</v>
      </c>
      <c r="M23" s="60">
        <f t="shared" si="4"/>
        <v>0.76190476190476186</v>
      </c>
      <c r="N23" s="60">
        <f t="shared" si="4"/>
        <v>0.90476190476190477</v>
      </c>
      <c r="O23" s="60">
        <f t="shared" si="4"/>
        <v>0.61904761904761907</v>
      </c>
      <c r="P23" s="67"/>
      <c r="Q23" s="28"/>
      <c r="R23" s="28"/>
      <c r="S23" s="28"/>
      <c r="T23" s="28"/>
      <c r="U23" s="28"/>
    </row>
    <row r="24" spans="1:21" ht="25.2" x14ac:dyDescent="0.3">
      <c r="A24" s="34"/>
      <c r="B24" s="49"/>
      <c r="C24" s="118"/>
      <c r="D24" s="280" t="s">
        <v>54</v>
      </c>
      <c r="E24" s="281">
        <v>0.09</v>
      </c>
      <c r="F24" s="282"/>
      <c r="G24" s="277"/>
      <c r="H24" s="278" t="s">
        <v>55</v>
      </c>
      <c r="I24" s="279">
        <v>7.0000000000000007E-2</v>
      </c>
      <c r="J24" s="277"/>
      <c r="K24" s="277"/>
      <c r="L24" s="278" t="s">
        <v>56</v>
      </c>
      <c r="M24" s="279">
        <v>0.09</v>
      </c>
      <c r="N24" s="283"/>
      <c r="O24" s="283"/>
      <c r="P24" s="284"/>
      <c r="Q24" s="28"/>
      <c r="R24" s="28"/>
      <c r="S24" s="28"/>
      <c r="T24" s="28"/>
      <c r="U24" s="28"/>
    </row>
    <row r="25" spans="1:21" x14ac:dyDescent="0.3">
      <c r="A25" s="34"/>
      <c r="B25" s="34"/>
      <c r="C25" s="38"/>
      <c r="D25" s="47"/>
      <c r="E25" s="38"/>
      <c r="F25" s="34"/>
      <c r="G25" s="34"/>
      <c r="H25" s="34"/>
      <c r="I25" s="34"/>
      <c r="J25" s="34"/>
      <c r="K25" s="35"/>
      <c r="L25" s="34"/>
      <c r="M25" s="34"/>
      <c r="N25" s="34"/>
      <c r="O25" s="36"/>
    </row>
    <row r="26" spans="1:21" x14ac:dyDescent="0.3">
      <c r="A26" s="28"/>
      <c r="B26" s="28"/>
      <c r="C26" s="30"/>
      <c r="D26" s="30"/>
      <c r="E26" s="30"/>
      <c r="F26" s="28"/>
      <c r="G26" s="28"/>
      <c r="H26" s="28"/>
      <c r="I26" s="28"/>
      <c r="J26" s="28"/>
      <c r="K26" s="29"/>
      <c r="L26" s="28"/>
      <c r="M26" s="28"/>
      <c r="N26" s="28"/>
    </row>
    <row r="27" spans="1:21" x14ac:dyDescent="0.3">
      <c r="E27" s="119" t="s">
        <v>57</v>
      </c>
      <c r="F27" s="88"/>
      <c r="G27" s="88"/>
    </row>
    <row r="55" spans="2:11" x14ac:dyDescent="0.3">
      <c r="B55" s="1"/>
      <c r="K55"/>
    </row>
    <row r="56" spans="2:11" x14ac:dyDescent="0.3">
      <c r="B56" s="1"/>
      <c r="K56"/>
    </row>
    <row r="57" spans="2:11" x14ac:dyDescent="0.3">
      <c r="B57" s="1"/>
    </row>
    <row r="58" spans="2:11" x14ac:dyDescent="0.3">
      <c r="B58" s="1"/>
    </row>
    <row r="59" spans="2:11" x14ac:dyDescent="0.3">
      <c r="B59" s="1"/>
    </row>
    <row r="60" spans="2:11" x14ac:dyDescent="0.3">
      <c r="B60" s="1"/>
    </row>
    <row r="61" spans="2:11" x14ac:dyDescent="0.3">
      <c r="B61" s="1"/>
    </row>
    <row r="62" spans="2:11" x14ac:dyDescent="0.3">
      <c r="B62" s="1"/>
    </row>
    <row r="63" spans="2:11" x14ac:dyDescent="0.3">
      <c r="B63" s="1"/>
    </row>
    <row r="64" spans="2:11" x14ac:dyDescent="0.3">
      <c r="B64" s="1"/>
    </row>
    <row r="65" spans="2:2" x14ac:dyDescent="0.3">
      <c r="B65" s="1"/>
    </row>
  </sheetData>
  <printOptions horizontalCentered="1" verticalCentered="1"/>
  <pageMargins left="0.25" right="0.25" top="0.75" bottom="0.75" header="0.3" footer="0.3"/>
  <pageSetup scale="53" orientation="landscape" r:id="rId1"/>
  <headerFooter>
    <oddFooter>&amp;L&amp;D&amp;T&amp;CConfidential&amp;R&amp;F</oddFooter>
  </headerFooter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  <pageSetUpPr fitToPage="1"/>
  </sheetPr>
  <dimension ref="A1:AE68"/>
  <sheetViews>
    <sheetView showGridLines="0" zoomScaleNormal="100" zoomScalePageLayoutView="84" workbookViewId="0"/>
  </sheetViews>
  <sheetFormatPr defaultColWidth="8.88671875" defaultRowHeight="14.4" x14ac:dyDescent="0.3"/>
  <cols>
    <col min="1" max="1" width="35.44140625" style="1" customWidth="1"/>
    <col min="2" max="2" width="9.44140625" bestFit="1" customWidth="1"/>
    <col min="3" max="3" width="3.6640625" customWidth="1"/>
    <col min="4" max="4" width="11.6640625" style="2" customWidth="1"/>
    <col min="5" max="5" width="3.109375" style="2" customWidth="1"/>
    <col min="6" max="6" width="11.6640625" style="2" customWidth="1"/>
    <col min="7" max="7" width="5.44140625" style="2" customWidth="1"/>
    <col min="8" max="8" width="13.44140625" style="2" customWidth="1"/>
    <col min="9" max="9" width="3.33203125" style="2" customWidth="1"/>
    <col min="10" max="10" width="12.109375" style="2" customWidth="1"/>
    <col min="11" max="11" width="3.109375" style="2" customWidth="1"/>
    <col min="12" max="12" width="13.33203125" style="2" customWidth="1"/>
    <col min="13" max="13" width="3.44140625" style="2" customWidth="1"/>
    <col min="14" max="14" width="14.6640625" style="2" customWidth="1"/>
    <col min="15" max="15" width="10.88671875" style="2" customWidth="1"/>
    <col min="16" max="16" width="11.88671875" style="2" customWidth="1"/>
    <col min="17" max="17" width="3.88671875" style="2" customWidth="1"/>
  </cols>
  <sheetData>
    <row r="1" spans="1:31" ht="15.6" x14ac:dyDescent="0.3">
      <c r="A1" s="181" t="s">
        <v>58</v>
      </c>
      <c r="B1" s="182" t="s">
        <v>59</v>
      </c>
      <c r="C1" s="182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24"/>
      <c r="Q1" s="125"/>
      <c r="R1" s="126"/>
      <c r="S1" s="126"/>
      <c r="T1" s="126"/>
      <c r="U1" s="126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31" ht="15" thickBot="1" x14ac:dyDescent="0.35">
      <c r="A2" s="127"/>
      <c r="B2" s="123"/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5"/>
      <c r="R2" s="126"/>
      <c r="S2" s="126"/>
      <c r="T2" s="126"/>
      <c r="U2" s="126"/>
      <c r="V2" s="7"/>
      <c r="W2" s="7"/>
      <c r="X2" s="7"/>
      <c r="Y2" s="7"/>
      <c r="Z2" s="7"/>
      <c r="AA2" s="7"/>
      <c r="AB2" s="7"/>
      <c r="AC2" s="7"/>
      <c r="AD2" s="7"/>
      <c r="AE2" s="7"/>
    </row>
    <row r="3" spans="1:31" ht="15" thickBot="1" x14ac:dyDescent="0.35">
      <c r="A3" s="128" t="s">
        <v>60</v>
      </c>
      <c r="B3" s="129">
        <f>'Labor Rate'!E24</f>
        <v>0.09</v>
      </c>
      <c r="C3" s="130"/>
      <c r="D3" s="131"/>
      <c r="E3" s="132" t="s">
        <v>61</v>
      </c>
      <c r="F3" s="155">
        <v>0.05</v>
      </c>
      <c r="G3" s="133"/>
      <c r="H3" s="131"/>
      <c r="I3" s="132" t="s">
        <v>62</v>
      </c>
      <c r="J3" s="129">
        <f>'Labor Rate'!I24</f>
        <v>7.0000000000000007E-2</v>
      </c>
      <c r="K3" s="124"/>
      <c r="L3" s="133"/>
      <c r="M3" s="132" t="s">
        <v>63</v>
      </c>
      <c r="N3" s="129">
        <f>'Labor Rate'!M24</f>
        <v>0.09</v>
      </c>
      <c r="O3" s="124"/>
      <c r="P3" s="124" t="s">
        <v>64</v>
      </c>
      <c r="Q3" s="125"/>
      <c r="R3" s="126"/>
      <c r="S3" s="126"/>
      <c r="T3" s="126"/>
      <c r="U3" s="126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31" ht="15" thickBot="1" x14ac:dyDescent="0.35">
      <c r="A4" s="120"/>
      <c r="B4" s="121" t="s">
        <v>65</v>
      </c>
      <c r="C4" s="123"/>
      <c r="D4" s="124" t="s">
        <v>66</v>
      </c>
      <c r="E4" s="124"/>
      <c r="F4" s="124" t="s">
        <v>67</v>
      </c>
      <c r="G4" s="124"/>
      <c r="H4" s="124" t="s">
        <v>68</v>
      </c>
      <c r="I4" s="124"/>
      <c r="J4" s="124" t="s">
        <v>69</v>
      </c>
      <c r="K4" s="124"/>
      <c r="L4" s="124" t="s">
        <v>70</v>
      </c>
      <c r="M4" s="124"/>
      <c r="N4" s="124" t="s">
        <v>71</v>
      </c>
      <c r="O4" s="134">
        <v>1</v>
      </c>
      <c r="P4" s="124" t="s">
        <v>72</v>
      </c>
      <c r="Q4" s="125"/>
      <c r="R4" s="126"/>
      <c r="S4" s="126"/>
      <c r="T4" s="126"/>
      <c r="U4" s="126"/>
      <c r="V4" s="7"/>
      <c r="W4" s="7"/>
      <c r="X4" s="7"/>
      <c r="Y4" s="7"/>
      <c r="Z4" s="7"/>
      <c r="AA4" s="7"/>
      <c r="AB4" s="7"/>
      <c r="AC4" s="7"/>
      <c r="AD4" s="7"/>
      <c r="AE4" s="7"/>
    </row>
    <row r="5" spans="1:31" x14ac:dyDescent="0.3">
      <c r="A5" s="184" t="s">
        <v>73</v>
      </c>
      <c r="B5" s="148">
        <v>0.3</v>
      </c>
      <c r="C5" s="185"/>
      <c r="D5" s="152">
        <v>10</v>
      </c>
      <c r="E5" s="186"/>
      <c r="F5" s="152">
        <v>10</v>
      </c>
      <c r="G5" s="186"/>
      <c r="H5" s="152">
        <v>20</v>
      </c>
      <c r="I5" s="186"/>
      <c r="J5" s="152">
        <v>20</v>
      </c>
      <c r="K5" s="186"/>
      <c r="L5" s="152">
        <v>0</v>
      </c>
      <c r="M5" s="186"/>
      <c r="N5" s="152">
        <v>0</v>
      </c>
      <c r="O5" s="187">
        <v>2</v>
      </c>
      <c r="P5" s="152">
        <v>0</v>
      </c>
      <c r="Q5" s="125"/>
      <c r="R5" s="126"/>
      <c r="S5" s="126"/>
      <c r="T5" s="124">
        <v>2</v>
      </c>
      <c r="U5" s="138">
        <v>2</v>
      </c>
      <c r="V5" s="7"/>
      <c r="W5" s="7"/>
      <c r="X5" s="7"/>
      <c r="Y5" s="7"/>
      <c r="Z5" s="7"/>
      <c r="AA5" s="7"/>
      <c r="AB5" s="7"/>
      <c r="AC5" s="7"/>
      <c r="AD5" s="7"/>
      <c r="AE5" s="7"/>
    </row>
    <row r="6" spans="1:31" x14ac:dyDescent="0.3">
      <c r="A6" s="135" t="s">
        <v>74</v>
      </c>
      <c r="B6" s="149">
        <v>0.3</v>
      </c>
      <c r="C6" s="123"/>
      <c r="D6" s="153">
        <v>8</v>
      </c>
      <c r="E6" s="136"/>
      <c r="F6" s="153">
        <v>8</v>
      </c>
      <c r="G6" s="136"/>
      <c r="H6" s="153">
        <v>8</v>
      </c>
      <c r="I6" s="136"/>
      <c r="J6" s="153">
        <v>8</v>
      </c>
      <c r="K6" s="136"/>
      <c r="L6" s="153">
        <v>0</v>
      </c>
      <c r="M6" s="136"/>
      <c r="N6" s="153">
        <v>0</v>
      </c>
      <c r="O6" s="137">
        <v>3</v>
      </c>
      <c r="P6" s="153">
        <v>1</v>
      </c>
      <c r="Q6" s="125"/>
      <c r="R6" s="126"/>
      <c r="S6" s="126"/>
      <c r="T6" s="124">
        <v>2.5</v>
      </c>
      <c r="U6" s="138">
        <v>3</v>
      </c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166" t="s">
        <v>75</v>
      </c>
      <c r="B7" s="149">
        <v>0.5</v>
      </c>
      <c r="C7" s="165"/>
      <c r="D7" s="153">
        <v>2</v>
      </c>
      <c r="E7" s="190"/>
      <c r="F7" s="153">
        <v>2</v>
      </c>
      <c r="G7" s="190"/>
      <c r="H7" s="153">
        <v>2</v>
      </c>
      <c r="I7" s="190"/>
      <c r="J7" s="153">
        <v>2</v>
      </c>
      <c r="K7" s="190"/>
      <c r="L7" s="153">
        <v>0</v>
      </c>
      <c r="M7" s="190"/>
      <c r="N7" s="153">
        <v>0</v>
      </c>
      <c r="O7" s="187">
        <v>4</v>
      </c>
      <c r="P7" s="153">
        <v>1</v>
      </c>
      <c r="Q7" s="125"/>
      <c r="R7" s="126"/>
      <c r="S7" s="126"/>
      <c r="T7" s="124">
        <v>3</v>
      </c>
      <c r="U7" s="138">
        <v>4</v>
      </c>
      <c r="V7" s="7"/>
      <c r="W7" s="7"/>
      <c r="X7" s="7"/>
      <c r="Y7" s="7"/>
      <c r="Z7" s="7"/>
      <c r="AA7" s="7"/>
      <c r="AB7" s="7"/>
      <c r="AC7" s="7"/>
      <c r="AD7" s="7"/>
      <c r="AE7" s="7"/>
    </row>
    <row r="8" spans="1:31" x14ac:dyDescent="0.3">
      <c r="A8" s="135" t="s">
        <v>76</v>
      </c>
      <c r="B8" s="149">
        <v>4</v>
      </c>
      <c r="C8" s="123"/>
      <c r="D8" s="153">
        <v>1</v>
      </c>
      <c r="E8" s="136"/>
      <c r="F8" s="153">
        <v>1</v>
      </c>
      <c r="G8" s="136"/>
      <c r="H8" s="153">
        <v>1</v>
      </c>
      <c r="I8" s="136"/>
      <c r="J8" s="153">
        <v>1</v>
      </c>
      <c r="K8" s="136"/>
      <c r="L8" s="153">
        <v>0</v>
      </c>
      <c r="M8" s="136"/>
      <c r="N8" s="153">
        <v>1</v>
      </c>
      <c r="O8" s="137">
        <v>5</v>
      </c>
      <c r="P8" s="153">
        <v>0</v>
      </c>
      <c r="Q8" s="125"/>
      <c r="R8" s="126"/>
      <c r="S8" s="126"/>
      <c r="T8" s="124">
        <v>3.5</v>
      </c>
      <c r="U8" s="138">
        <v>5</v>
      </c>
      <c r="V8" s="7"/>
      <c r="W8" s="7"/>
      <c r="X8" s="7"/>
      <c r="Y8" s="7"/>
      <c r="Z8" s="7"/>
      <c r="AA8" s="7"/>
      <c r="AB8" s="7"/>
      <c r="AC8" s="7"/>
      <c r="AD8" s="7"/>
      <c r="AE8" s="7"/>
    </row>
    <row r="9" spans="1:31" x14ac:dyDescent="0.3">
      <c r="A9" s="166" t="s">
        <v>77</v>
      </c>
      <c r="B9" s="149">
        <v>10</v>
      </c>
      <c r="C9" s="165"/>
      <c r="D9" s="153">
        <v>0.5</v>
      </c>
      <c r="E9" s="190"/>
      <c r="F9" s="153">
        <v>0.5</v>
      </c>
      <c r="G9" s="190"/>
      <c r="H9" s="153">
        <v>0.5</v>
      </c>
      <c r="I9" s="190"/>
      <c r="J9" s="153">
        <v>0.5</v>
      </c>
      <c r="K9" s="190"/>
      <c r="L9" s="153">
        <v>0</v>
      </c>
      <c r="M9" s="190"/>
      <c r="N9" s="153">
        <v>0.5</v>
      </c>
      <c r="O9" s="187">
        <v>6</v>
      </c>
      <c r="P9" s="153">
        <v>0</v>
      </c>
      <c r="Q9" s="125"/>
      <c r="R9" s="126"/>
      <c r="S9" s="126"/>
      <c r="T9" s="124">
        <v>4</v>
      </c>
      <c r="U9" s="138">
        <v>6</v>
      </c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A10" s="135" t="s">
        <v>78</v>
      </c>
      <c r="B10" s="149">
        <v>1</v>
      </c>
      <c r="C10" s="123"/>
      <c r="D10" s="153">
        <v>0</v>
      </c>
      <c r="E10" s="136"/>
      <c r="F10" s="153">
        <v>0</v>
      </c>
      <c r="G10" s="136"/>
      <c r="H10" s="153">
        <v>1</v>
      </c>
      <c r="I10" s="136"/>
      <c r="J10" s="153">
        <v>1</v>
      </c>
      <c r="K10" s="136"/>
      <c r="L10" s="153">
        <v>0</v>
      </c>
      <c r="M10" s="136"/>
      <c r="N10" s="153">
        <v>0</v>
      </c>
      <c r="O10" s="137">
        <v>7</v>
      </c>
      <c r="P10" s="153">
        <v>0</v>
      </c>
      <c r="Q10" s="125"/>
      <c r="R10" s="126"/>
      <c r="S10" s="126"/>
      <c r="T10" s="124">
        <v>5</v>
      </c>
      <c r="U10" s="138">
        <v>7</v>
      </c>
      <c r="V10" s="7"/>
      <c r="W10" s="7"/>
      <c r="X10" s="7"/>
      <c r="Y10" s="7"/>
      <c r="Z10" s="7"/>
      <c r="AA10" s="7"/>
      <c r="AB10" s="7"/>
      <c r="AC10" s="7"/>
      <c r="AD10" s="7"/>
      <c r="AE10" s="7"/>
    </row>
    <row r="11" spans="1:31" x14ac:dyDescent="0.3">
      <c r="A11" s="166" t="s">
        <v>79</v>
      </c>
      <c r="B11" s="149">
        <v>4.8</v>
      </c>
      <c r="C11" s="165"/>
      <c r="D11" s="153">
        <v>0.5</v>
      </c>
      <c r="E11" s="190"/>
      <c r="F11" s="153">
        <v>0.5</v>
      </c>
      <c r="G11" s="190"/>
      <c r="H11" s="153">
        <v>0.5</v>
      </c>
      <c r="I11" s="190"/>
      <c r="J11" s="153">
        <v>0.5</v>
      </c>
      <c r="K11" s="190"/>
      <c r="L11" s="153">
        <v>0</v>
      </c>
      <c r="M11" s="190"/>
      <c r="N11" s="153">
        <v>0</v>
      </c>
      <c r="O11" s="187">
        <v>8</v>
      </c>
      <c r="P11" s="153">
        <v>0</v>
      </c>
      <c r="Q11" s="125"/>
      <c r="R11" s="126"/>
      <c r="S11" s="126"/>
      <c r="T11" s="126"/>
      <c r="U11" s="126"/>
      <c r="V11" s="7"/>
      <c r="W11" s="7"/>
      <c r="X11" s="7"/>
      <c r="Y11" s="7"/>
      <c r="Z11" s="7"/>
      <c r="AA11" s="7"/>
      <c r="AB11" s="7"/>
      <c r="AC11" s="7"/>
      <c r="AD11" s="7"/>
      <c r="AE11" s="7"/>
    </row>
    <row r="12" spans="1:31" x14ac:dyDescent="0.3">
      <c r="A12" s="135" t="s">
        <v>80</v>
      </c>
      <c r="B12" s="149">
        <v>12</v>
      </c>
      <c r="C12" s="123"/>
      <c r="D12" s="153">
        <v>1</v>
      </c>
      <c r="E12" s="136"/>
      <c r="F12" s="153">
        <v>1</v>
      </c>
      <c r="G12" s="136"/>
      <c r="H12" s="153">
        <v>1</v>
      </c>
      <c r="I12" s="136"/>
      <c r="J12" s="153">
        <v>1</v>
      </c>
      <c r="K12" s="136"/>
      <c r="L12" s="153">
        <v>1</v>
      </c>
      <c r="M12" s="136"/>
      <c r="N12" s="153">
        <v>0</v>
      </c>
      <c r="O12" s="137">
        <v>9</v>
      </c>
      <c r="P12" s="153">
        <v>0</v>
      </c>
      <c r="Q12" s="125"/>
      <c r="R12" s="126"/>
      <c r="S12" s="126"/>
      <c r="T12" s="126"/>
      <c r="U12" s="126"/>
      <c r="V12" s="7"/>
      <c r="W12" s="7"/>
      <c r="X12" s="7"/>
      <c r="Y12" s="7"/>
      <c r="Z12" s="7"/>
      <c r="AA12" s="7"/>
      <c r="AB12" s="7"/>
      <c r="AC12" s="7"/>
      <c r="AD12" s="7"/>
      <c r="AE12" s="7"/>
    </row>
    <row r="13" spans="1:31" x14ac:dyDescent="0.3">
      <c r="A13" s="166" t="s">
        <v>81</v>
      </c>
      <c r="B13" s="149">
        <v>5</v>
      </c>
      <c r="C13" s="165"/>
      <c r="D13" s="153">
        <v>2</v>
      </c>
      <c r="E13" s="190"/>
      <c r="F13" s="153">
        <v>2</v>
      </c>
      <c r="G13" s="190"/>
      <c r="H13" s="153">
        <v>2</v>
      </c>
      <c r="I13" s="190"/>
      <c r="J13" s="153">
        <v>2</v>
      </c>
      <c r="K13" s="190"/>
      <c r="L13" s="153">
        <v>2</v>
      </c>
      <c r="M13" s="190"/>
      <c r="N13" s="153">
        <v>0</v>
      </c>
      <c r="O13" s="187">
        <v>10</v>
      </c>
      <c r="P13" s="153">
        <v>0</v>
      </c>
      <c r="Q13" s="125"/>
      <c r="R13" s="126"/>
      <c r="S13" s="126"/>
      <c r="T13" s="126"/>
      <c r="U13" s="126"/>
      <c r="V13" s="7"/>
      <c r="W13" s="7"/>
      <c r="X13" s="7"/>
      <c r="Y13" s="7"/>
      <c r="Z13" s="7"/>
      <c r="AA13" s="7"/>
      <c r="AB13" s="7"/>
      <c r="AC13" s="7"/>
      <c r="AD13" s="7"/>
      <c r="AE13" s="7"/>
    </row>
    <row r="14" spans="1:31" x14ac:dyDescent="0.3">
      <c r="A14" s="135" t="s">
        <v>82</v>
      </c>
      <c r="B14" s="149">
        <v>15</v>
      </c>
      <c r="C14" s="123"/>
      <c r="D14" s="153">
        <v>1</v>
      </c>
      <c r="E14" s="136"/>
      <c r="F14" s="153">
        <v>1</v>
      </c>
      <c r="G14" s="136"/>
      <c r="H14" s="153">
        <v>1</v>
      </c>
      <c r="I14" s="136"/>
      <c r="J14" s="153">
        <v>1</v>
      </c>
      <c r="K14" s="136"/>
      <c r="L14" s="153">
        <v>1</v>
      </c>
      <c r="M14" s="136"/>
      <c r="N14" s="153">
        <v>0</v>
      </c>
      <c r="O14" s="137">
        <v>11</v>
      </c>
      <c r="P14" s="153">
        <v>0</v>
      </c>
      <c r="Q14" s="125"/>
      <c r="R14" s="126"/>
      <c r="S14" s="126"/>
      <c r="T14" s="126"/>
      <c r="U14" s="126"/>
      <c r="V14" s="7"/>
      <c r="W14" s="7"/>
      <c r="X14" s="7"/>
      <c r="Y14" s="7"/>
      <c r="Z14" s="7"/>
      <c r="AA14" s="7"/>
      <c r="AB14" s="7"/>
      <c r="AC14" s="7"/>
      <c r="AD14" s="7"/>
      <c r="AE14" s="7"/>
    </row>
    <row r="15" spans="1:31" x14ac:dyDescent="0.3">
      <c r="A15" s="166" t="s">
        <v>83</v>
      </c>
      <c r="B15" s="149">
        <v>10</v>
      </c>
      <c r="C15" s="165"/>
      <c r="D15" s="153">
        <v>0</v>
      </c>
      <c r="E15" s="190"/>
      <c r="F15" s="153">
        <v>0</v>
      </c>
      <c r="G15" s="190"/>
      <c r="H15" s="153">
        <v>0</v>
      </c>
      <c r="I15" s="190"/>
      <c r="J15" s="153">
        <v>0</v>
      </c>
      <c r="K15" s="190"/>
      <c r="L15" s="153">
        <v>0</v>
      </c>
      <c r="M15" s="190"/>
      <c r="N15" s="153">
        <v>0</v>
      </c>
      <c r="O15" s="187">
        <v>12</v>
      </c>
      <c r="P15" s="153">
        <v>0</v>
      </c>
      <c r="Q15" s="125"/>
      <c r="R15" s="126"/>
      <c r="S15" s="126"/>
      <c r="T15" s="126"/>
      <c r="U15" s="126"/>
      <c r="V15" s="7"/>
      <c r="W15" s="7"/>
      <c r="X15" s="7"/>
      <c r="Y15" s="7"/>
      <c r="Z15" s="7"/>
      <c r="AA15" s="7"/>
      <c r="AB15" s="7"/>
      <c r="AC15" s="7"/>
      <c r="AD15" s="7"/>
      <c r="AE15" s="7"/>
    </row>
    <row r="16" spans="1:31" x14ac:dyDescent="0.3">
      <c r="A16" s="135" t="s">
        <v>84</v>
      </c>
      <c r="B16" s="149">
        <v>1</v>
      </c>
      <c r="C16" s="123"/>
      <c r="D16" s="153">
        <v>10</v>
      </c>
      <c r="E16" s="136"/>
      <c r="F16" s="153">
        <v>10</v>
      </c>
      <c r="G16" s="136"/>
      <c r="H16" s="153">
        <v>10</v>
      </c>
      <c r="I16" s="136"/>
      <c r="J16" s="153">
        <v>10</v>
      </c>
      <c r="K16" s="136"/>
      <c r="L16" s="153">
        <v>0</v>
      </c>
      <c r="M16" s="136"/>
      <c r="N16" s="153">
        <v>0</v>
      </c>
      <c r="O16" s="137">
        <v>13</v>
      </c>
      <c r="P16" s="153">
        <v>0</v>
      </c>
      <c r="Q16" s="125"/>
      <c r="R16" s="126"/>
      <c r="S16" s="126"/>
      <c r="T16" s="126"/>
      <c r="U16" s="126"/>
      <c r="V16" s="7"/>
      <c r="W16" s="7"/>
      <c r="X16" s="7"/>
      <c r="Y16" s="7"/>
      <c r="Z16" s="7"/>
      <c r="AA16" s="7"/>
      <c r="AB16" s="7"/>
      <c r="AC16" s="7"/>
      <c r="AD16" s="7"/>
      <c r="AE16" s="7"/>
    </row>
    <row r="17" spans="1:31" x14ac:dyDescent="0.3">
      <c r="A17" s="166" t="s">
        <v>85</v>
      </c>
      <c r="B17" s="149">
        <v>3.75</v>
      </c>
      <c r="C17" s="165"/>
      <c r="D17" s="153">
        <v>1</v>
      </c>
      <c r="E17" s="190"/>
      <c r="F17" s="153">
        <v>1</v>
      </c>
      <c r="G17" s="190"/>
      <c r="H17" s="153">
        <v>1</v>
      </c>
      <c r="I17" s="190"/>
      <c r="J17" s="153">
        <v>1</v>
      </c>
      <c r="K17" s="190"/>
      <c r="L17" s="153">
        <v>1</v>
      </c>
      <c r="M17" s="190"/>
      <c r="N17" s="153">
        <v>1</v>
      </c>
      <c r="O17" s="187">
        <v>14</v>
      </c>
      <c r="P17" s="153">
        <v>0</v>
      </c>
      <c r="Q17" s="125"/>
      <c r="R17" s="126"/>
      <c r="S17" s="126"/>
      <c r="T17" s="126"/>
      <c r="U17" s="126"/>
      <c r="V17" s="7"/>
      <c r="W17" s="7"/>
      <c r="X17" s="7"/>
      <c r="Y17" s="7"/>
      <c r="Z17" s="7"/>
      <c r="AA17" s="7"/>
      <c r="AB17" s="7"/>
      <c r="AC17" s="7"/>
      <c r="AD17" s="7"/>
      <c r="AE17" s="7"/>
    </row>
    <row r="18" spans="1:31" x14ac:dyDescent="0.3">
      <c r="A18" s="135" t="s">
        <v>86</v>
      </c>
      <c r="B18" s="149">
        <v>10</v>
      </c>
      <c r="C18" s="123"/>
      <c r="D18" s="153">
        <v>0</v>
      </c>
      <c r="E18" s="136"/>
      <c r="F18" s="153">
        <v>0</v>
      </c>
      <c r="G18" s="136"/>
      <c r="H18" s="153">
        <v>1</v>
      </c>
      <c r="I18" s="136"/>
      <c r="J18" s="153">
        <v>1</v>
      </c>
      <c r="K18" s="136"/>
      <c r="L18" s="153">
        <v>0</v>
      </c>
      <c r="M18" s="136"/>
      <c r="N18" s="153">
        <v>0</v>
      </c>
      <c r="O18" s="137">
        <v>15</v>
      </c>
      <c r="P18" s="153">
        <v>0</v>
      </c>
      <c r="Q18" s="125"/>
      <c r="R18" s="126"/>
      <c r="S18" s="126"/>
      <c r="T18" s="126"/>
      <c r="U18" s="126"/>
      <c r="V18" s="7"/>
      <c r="W18" s="7"/>
      <c r="X18" s="7"/>
      <c r="Y18" s="7"/>
      <c r="Z18" s="7"/>
      <c r="AA18" s="7"/>
      <c r="AB18" s="7"/>
      <c r="AC18" s="7"/>
      <c r="AD18" s="7"/>
      <c r="AE18" s="7"/>
    </row>
    <row r="19" spans="1:31" x14ac:dyDescent="0.3">
      <c r="A19" s="166" t="s">
        <v>87</v>
      </c>
      <c r="B19" s="149">
        <v>25</v>
      </c>
      <c r="C19" s="165"/>
      <c r="D19" s="153">
        <v>1</v>
      </c>
      <c r="E19" s="190"/>
      <c r="F19" s="153">
        <v>1</v>
      </c>
      <c r="G19" s="190"/>
      <c r="H19" s="153">
        <v>1</v>
      </c>
      <c r="I19" s="190"/>
      <c r="J19" s="153">
        <v>1</v>
      </c>
      <c r="K19" s="190"/>
      <c r="L19" s="153">
        <v>1</v>
      </c>
      <c r="M19" s="190"/>
      <c r="N19" s="153">
        <v>1</v>
      </c>
      <c r="O19" s="187">
        <v>16</v>
      </c>
      <c r="P19" s="153">
        <v>1</v>
      </c>
      <c r="Q19" s="125"/>
      <c r="R19" s="126"/>
      <c r="S19" s="126"/>
      <c r="T19" s="126"/>
      <c r="U19" s="126"/>
      <c r="V19" s="7"/>
      <c r="W19" s="7"/>
      <c r="X19" s="7"/>
      <c r="Y19" s="7"/>
      <c r="Z19" s="7"/>
      <c r="AA19" s="7"/>
      <c r="AB19" s="7"/>
      <c r="AC19" s="7"/>
      <c r="AD19" s="7"/>
      <c r="AE19" s="7"/>
    </row>
    <row r="20" spans="1:31" x14ac:dyDescent="0.3">
      <c r="A20" s="135" t="s">
        <v>88</v>
      </c>
      <c r="B20" s="149">
        <v>30</v>
      </c>
      <c r="C20" s="123"/>
      <c r="D20" s="153">
        <v>1</v>
      </c>
      <c r="E20" s="136"/>
      <c r="F20" s="153">
        <v>0</v>
      </c>
      <c r="G20" s="136"/>
      <c r="H20" s="153">
        <v>0</v>
      </c>
      <c r="I20" s="136"/>
      <c r="J20" s="153">
        <v>0</v>
      </c>
      <c r="K20" s="136"/>
      <c r="L20" s="153">
        <v>0</v>
      </c>
      <c r="M20" s="136"/>
      <c r="N20" s="153">
        <v>1</v>
      </c>
      <c r="O20" s="137">
        <v>17</v>
      </c>
      <c r="P20" s="153">
        <v>2</v>
      </c>
      <c r="Q20" s="125"/>
      <c r="R20" s="126"/>
      <c r="S20" s="126"/>
      <c r="T20" s="126"/>
      <c r="U20" s="126"/>
      <c r="V20" s="7"/>
      <c r="W20" s="7"/>
      <c r="X20" s="7"/>
      <c r="Y20" s="7"/>
      <c r="Z20" s="7"/>
      <c r="AA20" s="7"/>
      <c r="AB20" s="7"/>
      <c r="AC20" s="7"/>
      <c r="AD20" s="7"/>
      <c r="AE20" s="7"/>
    </row>
    <row r="21" spans="1:31" x14ac:dyDescent="0.3">
      <c r="A21" s="166" t="s">
        <v>89</v>
      </c>
      <c r="B21" s="149">
        <v>40</v>
      </c>
      <c r="C21" s="165"/>
      <c r="D21" s="153">
        <v>1</v>
      </c>
      <c r="E21" s="190"/>
      <c r="F21" s="153">
        <v>1</v>
      </c>
      <c r="G21" s="190"/>
      <c r="H21" s="153">
        <v>1</v>
      </c>
      <c r="I21" s="190"/>
      <c r="J21" s="153">
        <v>1</v>
      </c>
      <c r="K21" s="190"/>
      <c r="L21" s="153">
        <v>0</v>
      </c>
      <c r="M21" s="190"/>
      <c r="N21" s="153">
        <v>0</v>
      </c>
      <c r="O21" s="187">
        <v>18</v>
      </c>
      <c r="P21" s="153">
        <v>0</v>
      </c>
      <c r="Q21" s="125"/>
      <c r="R21" s="126"/>
      <c r="S21" s="126"/>
      <c r="T21" s="126"/>
      <c r="U21" s="126"/>
      <c r="V21" s="7"/>
      <c r="W21" s="7"/>
      <c r="X21" s="7"/>
      <c r="Y21" s="7"/>
      <c r="Z21" s="7"/>
      <c r="AA21" s="7"/>
      <c r="AB21" s="7"/>
      <c r="AC21" s="7"/>
      <c r="AD21" s="7"/>
      <c r="AE21" s="7"/>
    </row>
    <row r="22" spans="1:31" x14ac:dyDescent="0.3">
      <c r="A22" s="135" t="s">
        <v>90</v>
      </c>
      <c r="B22" s="149">
        <v>50</v>
      </c>
      <c r="C22" s="123"/>
      <c r="D22" s="153">
        <v>0</v>
      </c>
      <c r="E22" s="136"/>
      <c r="F22" s="153">
        <v>0</v>
      </c>
      <c r="G22" s="136"/>
      <c r="H22" s="153">
        <v>0</v>
      </c>
      <c r="I22" s="136"/>
      <c r="J22" s="153">
        <v>0</v>
      </c>
      <c r="K22" s="136"/>
      <c r="L22" s="153">
        <v>0</v>
      </c>
      <c r="M22" s="136"/>
      <c r="N22" s="153">
        <v>0</v>
      </c>
      <c r="O22" s="137">
        <v>19</v>
      </c>
      <c r="P22" s="153">
        <v>1</v>
      </c>
      <c r="Q22" s="125"/>
      <c r="R22" s="126"/>
      <c r="S22" s="126"/>
      <c r="T22" s="126"/>
      <c r="U22" s="126"/>
      <c r="V22" s="7"/>
      <c r="W22" s="7"/>
      <c r="X22" s="7"/>
      <c r="Y22" s="7"/>
      <c r="Z22" s="7"/>
      <c r="AA22" s="7"/>
      <c r="AB22" s="7"/>
      <c r="AC22" s="7"/>
      <c r="AD22" s="7"/>
      <c r="AE22" s="7"/>
    </row>
    <row r="23" spans="1:31" x14ac:dyDescent="0.3">
      <c r="A23" s="166" t="s">
        <v>91</v>
      </c>
      <c r="B23" s="149">
        <v>0.4</v>
      </c>
      <c r="C23" s="165"/>
      <c r="D23" s="153">
        <v>0</v>
      </c>
      <c r="E23" s="190"/>
      <c r="F23" s="153">
        <v>0</v>
      </c>
      <c r="G23" s="190"/>
      <c r="H23" s="153">
        <v>0</v>
      </c>
      <c r="I23" s="190"/>
      <c r="J23" s="153">
        <v>0</v>
      </c>
      <c r="K23" s="190"/>
      <c r="L23" s="153">
        <v>0</v>
      </c>
      <c r="M23" s="190"/>
      <c r="N23" s="153">
        <v>0</v>
      </c>
      <c r="O23" s="187">
        <v>20</v>
      </c>
      <c r="P23" s="153">
        <v>0</v>
      </c>
      <c r="Q23" s="125"/>
      <c r="R23" s="126"/>
      <c r="S23" s="126"/>
      <c r="T23" s="126"/>
      <c r="U23" s="126"/>
      <c r="V23" s="7"/>
      <c r="W23" s="7"/>
      <c r="X23" s="7"/>
      <c r="Y23" s="7"/>
      <c r="Z23" s="7"/>
      <c r="AA23" s="7"/>
      <c r="AB23" s="7"/>
      <c r="AC23" s="7"/>
      <c r="AD23" s="7"/>
      <c r="AE23" s="7"/>
    </row>
    <row r="24" spans="1:31" x14ac:dyDescent="0.3">
      <c r="A24" s="135" t="s">
        <v>92</v>
      </c>
      <c r="B24" s="149">
        <v>0.42</v>
      </c>
      <c r="C24" s="123"/>
      <c r="D24" s="153">
        <v>0</v>
      </c>
      <c r="E24" s="136"/>
      <c r="F24" s="153">
        <v>0</v>
      </c>
      <c r="G24" s="136"/>
      <c r="H24" s="153">
        <v>0</v>
      </c>
      <c r="I24" s="136"/>
      <c r="J24" s="153">
        <v>0</v>
      </c>
      <c r="K24" s="136"/>
      <c r="L24" s="153">
        <v>0</v>
      </c>
      <c r="M24" s="136"/>
      <c r="N24" s="153">
        <v>0</v>
      </c>
      <c r="O24" s="137">
        <v>21</v>
      </c>
      <c r="P24" s="153">
        <v>0</v>
      </c>
      <c r="Q24" s="125"/>
      <c r="R24" s="126"/>
      <c r="S24" s="126"/>
      <c r="T24" s="126"/>
      <c r="U24" s="126"/>
      <c r="V24" s="7"/>
      <c r="W24" s="7"/>
      <c r="X24" s="7"/>
      <c r="Y24" s="7"/>
      <c r="Z24" s="7"/>
      <c r="AA24" s="7"/>
      <c r="AB24" s="7"/>
      <c r="AC24" s="7"/>
      <c r="AD24" s="7"/>
      <c r="AE24" s="7"/>
    </row>
    <row r="25" spans="1:31" x14ac:dyDescent="0.3">
      <c r="A25" s="166" t="s">
        <v>93</v>
      </c>
      <c r="B25" s="149">
        <v>6</v>
      </c>
      <c r="C25" s="165"/>
      <c r="D25" s="153">
        <v>0</v>
      </c>
      <c r="E25" s="190"/>
      <c r="F25" s="153">
        <v>0</v>
      </c>
      <c r="G25" s="190"/>
      <c r="H25" s="153">
        <v>0</v>
      </c>
      <c r="I25" s="190"/>
      <c r="J25" s="153">
        <v>0</v>
      </c>
      <c r="K25" s="190"/>
      <c r="L25" s="153">
        <v>0</v>
      </c>
      <c r="M25" s="190"/>
      <c r="N25" s="153">
        <v>0</v>
      </c>
      <c r="O25" s="187">
        <v>22</v>
      </c>
      <c r="P25" s="153">
        <v>0</v>
      </c>
      <c r="Q25" s="125"/>
      <c r="R25" s="126"/>
      <c r="S25" s="126"/>
      <c r="T25" s="126"/>
      <c r="U25" s="126"/>
      <c r="V25" s="7"/>
      <c r="W25" s="7"/>
      <c r="X25" s="7"/>
      <c r="Y25" s="7"/>
      <c r="Z25" s="7"/>
      <c r="AA25" s="7"/>
      <c r="AB25" s="7"/>
      <c r="AC25" s="7"/>
      <c r="AD25" s="7"/>
      <c r="AE25" s="7"/>
    </row>
    <row r="26" spans="1:31" x14ac:dyDescent="0.3">
      <c r="A26" s="135" t="s">
        <v>94</v>
      </c>
      <c r="B26" s="149">
        <v>1.1499999999999999</v>
      </c>
      <c r="C26" s="123"/>
      <c r="D26" s="153">
        <v>0</v>
      </c>
      <c r="E26" s="192"/>
      <c r="F26" s="153">
        <v>0</v>
      </c>
      <c r="G26" s="136"/>
      <c r="H26" s="153">
        <v>0</v>
      </c>
      <c r="I26" s="136"/>
      <c r="J26" s="153">
        <v>0</v>
      </c>
      <c r="K26" s="192"/>
      <c r="L26" s="153">
        <v>0</v>
      </c>
      <c r="M26" s="136"/>
      <c r="N26" s="153">
        <v>0</v>
      </c>
      <c r="O26" s="137">
        <v>23</v>
      </c>
      <c r="P26" s="153">
        <v>0</v>
      </c>
      <c r="Q26" s="125"/>
      <c r="R26" s="126"/>
      <c r="S26" s="126"/>
      <c r="T26" s="126"/>
      <c r="U26" s="126"/>
      <c r="V26" s="7"/>
      <c r="W26" s="7"/>
      <c r="X26" s="7"/>
      <c r="Y26" s="7"/>
      <c r="Z26" s="7"/>
      <c r="AA26" s="7"/>
      <c r="AB26" s="7"/>
      <c r="AC26" s="7"/>
      <c r="AD26" s="7"/>
      <c r="AE26" s="7"/>
    </row>
    <row r="27" spans="1:31" x14ac:dyDescent="0.3">
      <c r="A27" s="166" t="s">
        <v>95</v>
      </c>
      <c r="B27" s="149">
        <v>10</v>
      </c>
      <c r="C27" s="165"/>
      <c r="D27" s="153">
        <v>0</v>
      </c>
      <c r="E27" s="190"/>
      <c r="F27" s="153">
        <v>0</v>
      </c>
      <c r="G27" s="190"/>
      <c r="H27" s="153">
        <v>0</v>
      </c>
      <c r="I27" s="190"/>
      <c r="J27" s="153">
        <v>0</v>
      </c>
      <c r="K27" s="190"/>
      <c r="L27" s="153">
        <v>0</v>
      </c>
      <c r="M27" s="190"/>
      <c r="N27" s="153">
        <v>0</v>
      </c>
      <c r="O27" s="188">
        <v>24</v>
      </c>
      <c r="P27" s="153">
        <v>0</v>
      </c>
      <c r="Q27" s="125"/>
      <c r="R27" s="126"/>
      <c r="S27" s="126"/>
      <c r="T27" s="126"/>
      <c r="U27" s="126"/>
      <c r="V27" s="7"/>
      <c r="W27" s="7"/>
      <c r="X27" s="7"/>
      <c r="Y27" s="7"/>
      <c r="Z27" s="7"/>
      <c r="AA27" s="7"/>
      <c r="AB27" s="7"/>
      <c r="AC27" s="7"/>
      <c r="AD27" s="7"/>
      <c r="AE27" s="7"/>
    </row>
    <row r="28" spans="1:31" x14ac:dyDescent="0.3">
      <c r="A28" s="135" t="s">
        <v>96</v>
      </c>
      <c r="B28" s="149">
        <v>15.99</v>
      </c>
      <c r="C28" s="123"/>
      <c r="D28" s="153">
        <v>1</v>
      </c>
      <c r="E28" s="136"/>
      <c r="F28" s="153">
        <v>1</v>
      </c>
      <c r="G28" s="136"/>
      <c r="H28" s="153">
        <v>0</v>
      </c>
      <c r="I28" s="136"/>
      <c r="J28" s="153">
        <v>0</v>
      </c>
      <c r="K28" s="192"/>
      <c r="L28" s="153">
        <v>0</v>
      </c>
      <c r="M28" s="136"/>
      <c r="N28" s="153">
        <v>0</v>
      </c>
      <c r="O28" s="137">
        <v>25</v>
      </c>
      <c r="P28" s="153">
        <v>0</v>
      </c>
      <c r="Q28" s="125"/>
      <c r="R28" s="126"/>
      <c r="S28" s="126"/>
      <c r="T28" s="126"/>
      <c r="U28" s="126"/>
      <c r="V28" s="7"/>
      <c r="W28" s="7"/>
      <c r="X28" s="7"/>
      <c r="Y28" s="7"/>
      <c r="Z28" s="7"/>
      <c r="AA28" s="7"/>
      <c r="AB28" s="7"/>
      <c r="AC28" s="7"/>
      <c r="AD28" s="7"/>
      <c r="AE28" s="7"/>
    </row>
    <row r="29" spans="1:31" x14ac:dyDescent="0.3">
      <c r="A29" s="166" t="s">
        <v>97</v>
      </c>
      <c r="B29" s="149">
        <v>250</v>
      </c>
      <c r="C29" s="165"/>
      <c r="D29" s="153">
        <v>0.25</v>
      </c>
      <c r="E29" s="190"/>
      <c r="F29" s="153">
        <v>0.25</v>
      </c>
      <c r="G29" s="190"/>
      <c r="H29" s="153">
        <v>0.25</v>
      </c>
      <c r="I29" s="190"/>
      <c r="J29" s="153">
        <v>0.25</v>
      </c>
      <c r="K29" s="190"/>
      <c r="L29" s="153">
        <v>0</v>
      </c>
      <c r="M29" s="190"/>
      <c r="N29" s="153">
        <v>0</v>
      </c>
      <c r="O29" s="188">
        <v>26</v>
      </c>
      <c r="P29" s="153">
        <v>1</v>
      </c>
      <c r="Q29" s="125"/>
      <c r="R29" s="126"/>
      <c r="S29" s="126"/>
      <c r="T29" s="126"/>
      <c r="U29" s="126"/>
      <c r="V29" s="7"/>
      <c r="W29" s="7"/>
      <c r="X29" s="7"/>
      <c r="Y29" s="7"/>
      <c r="Z29" s="7"/>
      <c r="AA29" s="7"/>
      <c r="AB29" s="7"/>
      <c r="AC29" s="7"/>
      <c r="AD29" s="7"/>
      <c r="AE29" s="7"/>
    </row>
    <row r="30" spans="1:31" x14ac:dyDescent="0.3">
      <c r="A30" s="135" t="s">
        <v>98</v>
      </c>
      <c r="B30" s="149">
        <v>150</v>
      </c>
      <c r="C30" s="123"/>
      <c r="D30" s="153">
        <v>1</v>
      </c>
      <c r="E30" s="136"/>
      <c r="F30" s="153">
        <v>1</v>
      </c>
      <c r="G30" s="192"/>
      <c r="H30" s="153">
        <v>1</v>
      </c>
      <c r="I30" s="136"/>
      <c r="J30" s="153">
        <v>1</v>
      </c>
      <c r="K30" s="192"/>
      <c r="L30" s="153">
        <v>0</v>
      </c>
      <c r="M30" s="136"/>
      <c r="N30" s="153">
        <v>0</v>
      </c>
      <c r="O30" s="137">
        <v>27</v>
      </c>
      <c r="P30" s="153">
        <v>1</v>
      </c>
      <c r="Q30" s="125"/>
      <c r="R30" s="126"/>
      <c r="S30" s="126"/>
      <c r="T30" s="126"/>
      <c r="U30" s="126"/>
      <c r="V30" s="7"/>
      <c r="W30" s="7"/>
      <c r="X30" s="7"/>
      <c r="Y30" s="7"/>
      <c r="Z30" s="7"/>
      <c r="AA30" s="7"/>
      <c r="AB30" s="7"/>
      <c r="AC30" s="7"/>
      <c r="AD30" s="7"/>
      <c r="AE30" s="7"/>
    </row>
    <row r="31" spans="1:31" x14ac:dyDescent="0.3">
      <c r="A31" s="166" t="s">
        <v>99</v>
      </c>
      <c r="B31" s="149">
        <v>19.28</v>
      </c>
      <c r="C31" s="165"/>
      <c r="D31" s="153">
        <v>1</v>
      </c>
      <c r="E31" s="190"/>
      <c r="F31" s="153">
        <v>1</v>
      </c>
      <c r="G31" s="190"/>
      <c r="H31" s="153">
        <v>1</v>
      </c>
      <c r="I31" s="190"/>
      <c r="J31" s="153">
        <v>1</v>
      </c>
      <c r="K31" s="190"/>
      <c r="L31" s="153">
        <v>0</v>
      </c>
      <c r="M31" s="190"/>
      <c r="N31" s="153">
        <v>1</v>
      </c>
      <c r="O31" s="188">
        <v>28</v>
      </c>
      <c r="P31" s="153">
        <v>0</v>
      </c>
      <c r="Q31" s="125"/>
      <c r="R31" s="126"/>
      <c r="S31" s="126"/>
      <c r="T31" s="126"/>
      <c r="U31" s="126"/>
      <c r="V31" s="7"/>
      <c r="W31" s="7"/>
      <c r="X31" s="7"/>
      <c r="Y31" s="7"/>
      <c r="Z31" s="7"/>
      <c r="AA31" s="7"/>
      <c r="AB31" s="7"/>
      <c r="AC31" s="7"/>
      <c r="AD31" s="7"/>
      <c r="AE31" s="7"/>
    </row>
    <row r="32" spans="1:31" x14ac:dyDescent="0.3">
      <c r="A32" s="135" t="s">
        <v>100</v>
      </c>
      <c r="B32" s="149">
        <v>4</v>
      </c>
      <c r="C32" s="123"/>
      <c r="D32" s="153">
        <v>3</v>
      </c>
      <c r="E32" s="136"/>
      <c r="F32" s="153">
        <v>3</v>
      </c>
      <c r="G32" s="136"/>
      <c r="H32" s="153">
        <v>0</v>
      </c>
      <c r="I32" s="136"/>
      <c r="J32" s="153">
        <v>0</v>
      </c>
      <c r="K32" s="192"/>
      <c r="L32" s="153">
        <v>30</v>
      </c>
      <c r="M32" s="136"/>
      <c r="N32" s="153">
        <v>0</v>
      </c>
      <c r="O32" s="137">
        <v>29</v>
      </c>
      <c r="P32" s="153">
        <v>0</v>
      </c>
      <c r="Q32" s="125"/>
      <c r="R32" s="126"/>
      <c r="S32" s="126"/>
      <c r="T32" s="126"/>
      <c r="U32" s="126"/>
      <c r="V32" s="7"/>
      <c r="W32" s="7"/>
      <c r="X32" s="7"/>
      <c r="Y32" s="7"/>
      <c r="Z32" s="7"/>
      <c r="AA32" s="7"/>
      <c r="AB32" s="7"/>
      <c r="AC32" s="7"/>
      <c r="AD32" s="7"/>
      <c r="AE32" s="7"/>
    </row>
    <row r="33" spans="1:31" x14ac:dyDescent="0.3">
      <c r="A33" s="166" t="s">
        <v>101</v>
      </c>
      <c r="B33" s="149">
        <v>29</v>
      </c>
      <c r="C33" s="165"/>
      <c r="D33" s="153">
        <v>1</v>
      </c>
      <c r="E33" s="190"/>
      <c r="F33" s="153">
        <v>1</v>
      </c>
      <c r="G33" s="190"/>
      <c r="H33" s="153">
        <v>0</v>
      </c>
      <c r="I33" s="190"/>
      <c r="J33" s="153">
        <v>0</v>
      </c>
      <c r="K33" s="190"/>
      <c r="L33" s="153">
        <v>1</v>
      </c>
      <c r="M33" s="190"/>
      <c r="N33" s="153">
        <v>0</v>
      </c>
      <c r="O33" s="188">
        <v>30</v>
      </c>
      <c r="P33" s="153">
        <v>0</v>
      </c>
      <c r="Q33" s="125"/>
      <c r="R33" s="126"/>
      <c r="S33" s="126"/>
      <c r="T33" s="126"/>
      <c r="U33" s="126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x14ac:dyDescent="0.3">
      <c r="A34" s="139" t="s">
        <v>102</v>
      </c>
      <c r="B34" s="150">
        <v>280</v>
      </c>
      <c r="C34" s="123"/>
      <c r="D34" s="153">
        <v>0</v>
      </c>
      <c r="E34" s="192"/>
      <c r="F34" s="153">
        <v>0</v>
      </c>
      <c r="G34" s="136"/>
      <c r="H34" s="153">
        <v>0</v>
      </c>
      <c r="I34" s="136"/>
      <c r="J34" s="153">
        <v>0</v>
      </c>
      <c r="K34" s="136"/>
      <c r="L34" s="153">
        <v>0</v>
      </c>
      <c r="M34" s="136"/>
      <c r="N34" s="153">
        <v>0</v>
      </c>
      <c r="O34" s="137">
        <v>31</v>
      </c>
      <c r="P34" s="153">
        <v>0.5</v>
      </c>
      <c r="Q34" s="125"/>
      <c r="R34" s="126"/>
      <c r="S34" s="126"/>
      <c r="T34" s="126"/>
      <c r="U34" s="126"/>
      <c r="V34" s="7"/>
      <c r="W34" s="7"/>
      <c r="X34" s="7"/>
      <c r="Y34" s="7"/>
      <c r="Z34" s="7"/>
      <c r="AA34" s="7"/>
      <c r="AB34" s="7"/>
      <c r="AC34" s="7"/>
      <c r="AD34" s="7"/>
      <c r="AE34" s="7"/>
    </row>
    <row r="35" spans="1:31" x14ac:dyDescent="0.3">
      <c r="A35" s="194" t="s">
        <v>103</v>
      </c>
      <c r="B35" s="150">
        <v>253</v>
      </c>
      <c r="C35" s="165"/>
      <c r="D35" s="153">
        <v>0</v>
      </c>
      <c r="E35" s="190"/>
      <c r="F35" s="153">
        <v>0</v>
      </c>
      <c r="G35" s="190"/>
      <c r="H35" s="153">
        <v>0</v>
      </c>
      <c r="I35" s="190"/>
      <c r="J35" s="153">
        <v>0</v>
      </c>
      <c r="K35" s="190"/>
      <c r="L35" s="153">
        <v>0</v>
      </c>
      <c r="M35" s="190"/>
      <c r="N35" s="153">
        <v>0</v>
      </c>
      <c r="O35" s="188">
        <v>32</v>
      </c>
      <c r="P35" s="153">
        <v>0</v>
      </c>
      <c r="Q35" s="125"/>
      <c r="R35" s="126"/>
      <c r="S35" s="126"/>
      <c r="T35" s="126"/>
      <c r="U35" s="126"/>
      <c r="V35" s="7"/>
      <c r="W35" s="7"/>
      <c r="X35" s="7"/>
      <c r="Y35" s="7"/>
      <c r="Z35" s="7"/>
      <c r="AA35" s="7"/>
      <c r="AB35" s="7"/>
      <c r="AC35" s="7"/>
      <c r="AD35" s="7"/>
      <c r="AE35" s="7"/>
    </row>
    <row r="36" spans="1:31" ht="15" thickBot="1" x14ac:dyDescent="0.35">
      <c r="A36" s="195" t="s">
        <v>104</v>
      </c>
      <c r="B36" s="151">
        <v>300</v>
      </c>
      <c r="C36" s="123"/>
      <c r="D36" s="154">
        <v>0</v>
      </c>
      <c r="E36" s="136"/>
      <c r="F36" s="154">
        <v>0</v>
      </c>
      <c r="G36" s="136"/>
      <c r="H36" s="154">
        <v>0</v>
      </c>
      <c r="I36" s="136"/>
      <c r="J36" s="154">
        <v>0</v>
      </c>
      <c r="K36" s="136"/>
      <c r="L36" s="154">
        <v>0</v>
      </c>
      <c r="M36" s="136"/>
      <c r="N36" s="154">
        <v>0</v>
      </c>
      <c r="O36" s="137">
        <v>33</v>
      </c>
      <c r="P36" s="154">
        <v>0.5</v>
      </c>
      <c r="Q36" s="125"/>
      <c r="R36" s="126"/>
      <c r="S36" s="126"/>
      <c r="T36" s="126"/>
      <c r="U36" s="126"/>
      <c r="V36" s="7"/>
      <c r="W36" s="7"/>
      <c r="X36" s="7"/>
      <c r="Y36" s="7"/>
      <c r="Z36" s="7"/>
      <c r="AA36" s="7"/>
      <c r="AB36" s="7"/>
      <c r="AC36" s="7"/>
      <c r="AD36" s="7"/>
      <c r="AE36" s="7"/>
    </row>
    <row r="37" spans="1:31" ht="15" thickBot="1" x14ac:dyDescent="0.35">
      <c r="A37" s="169" t="s">
        <v>105</v>
      </c>
      <c r="B37" s="170"/>
      <c r="C37" s="170"/>
      <c r="D37" s="171">
        <f t="array" ref="D37">SUM($B$5:$B$36*(1+$B$3)*D5:D36)</f>
        <v>493.02880000000005</v>
      </c>
      <c r="E37" s="172"/>
      <c r="F37" s="171">
        <f t="array" ref="F37">SUM($B$5:$B$36*(1+$B$3)*F5:F36)</f>
        <v>460.3288</v>
      </c>
      <c r="G37" s="172"/>
      <c r="H37" s="171">
        <f t="array" ref="H37">SUM($B$5:$B$36*(1+$B$3)*H5:H36)</f>
        <v>413.46970000000005</v>
      </c>
      <c r="I37" s="172"/>
      <c r="J37" s="171">
        <f t="array" ref="J37">SUM($B$5:$B$36*(1+$B$3)*J5:J36)</f>
        <v>413.46970000000005</v>
      </c>
      <c r="K37" s="172"/>
      <c r="L37" s="171">
        <f t="array" ref="L37">SUM($B$5:$B$36*(1+$B$3)*L5:L36)</f>
        <v>234.07750000000004</v>
      </c>
      <c r="M37" s="172"/>
      <c r="N37" s="171">
        <f t="array" ref="N37">SUM($B$5:$B$36*(1+$B$3)*N5:N36)</f>
        <v>94.862700000000018</v>
      </c>
      <c r="O37" s="173">
        <v>34</v>
      </c>
      <c r="P37" s="171">
        <f t="array" ref="P37">SUM($B$5:$B$36*(1+$B$3)*P5:P36)</f>
        <v>900.12200000000007</v>
      </c>
      <c r="Q37" s="140"/>
      <c r="R37" s="126"/>
      <c r="S37" s="126"/>
      <c r="T37" s="126"/>
      <c r="U37" s="126"/>
      <c r="V37" s="7"/>
      <c r="W37" s="7"/>
      <c r="X37" s="7"/>
      <c r="Y37" s="7"/>
      <c r="Z37" s="7"/>
      <c r="AA37" s="7"/>
      <c r="AB37" s="7"/>
      <c r="AC37" s="7"/>
      <c r="AD37" s="7"/>
      <c r="AE37" s="7"/>
    </row>
    <row r="38" spans="1:31" x14ac:dyDescent="0.3">
      <c r="A38" s="196" t="s">
        <v>106</v>
      </c>
      <c r="B38" s="148">
        <v>150</v>
      </c>
      <c r="C38" s="165"/>
      <c r="D38" s="157">
        <v>1</v>
      </c>
      <c r="E38" s="191"/>
      <c r="F38" s="157">
        <v>1</v>
      </c>
      <c r="G38" s="191"/>
      <c r="H38" s="157">
        <v>2</v>
      </c>
      <c r="I38" s="191"/>
      <c r="J38" s="157">
        <v>2</v>
      </c>
      <c r="K38" s="191"/>
      <c r="L38" s="157">
        <v>0</v>
      </c>
      <c r="M38" s="191"/>
      <c r="N38" s="157">
        <v>0.5</v>
      </c>
      <c r="O38" s="189">
        <v>35</v>
      </c>
      <c r="P38" s="157">
        <v>0</v>
      </c>
      <c r="Q38" s="125"/>
      <c r="R38" s="126"/>
      <c r="S38" s="126"/>
      <c r="T38" s="126"/>
      <c r="U38" s="126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1" x14ac:dyDescent="0.3">
      <c r="A39" s="122" t="s">
        <v>107</v>
      </c>
      <c r="B39" s="149">
        <v>30</v>
      </c>
      <c r="C39" s="123"/>
      <c r="D39" s="158">
        <v>0</v>
      </c>
      <c r="E39" s="141"/>
      <c r="F39" s="158">
        <v>0</v>
      </c>
      <c r="G39" s="141"/>
      <c r="H39" s="158">
        <v>0</v>
      </c>
      <c r="I39" s="141"/>
      <c r="J39" s="158">
        <v>0</v>
      </c>
      <c r="K39" s="141"/>
      <c r="L39" s="158">
        <v>0</v>
      </c>
      <c r="M39" s="141"/>
      <c r="N39" s="158">
        <v>0</v>
      </c>
      <c r="O39" s="134">
        <v>36</v>
      </c>
      <c r="P39" s="158">
        <v>0</v>
      </c>
      <c r="Q39" s="125"/>
      <c r="R39" s="126"/>
      <c r="S39" s="126"/>
      <c r="T39" s="126"/>
      <c r="U39" s="126"/>
      <c r="V39" s="7"/>
      <c r="W39" s="7"/>
      <c r="X39" s="7"/>
      <c r="Y39" s="7"/>
      <c r="Z39" s="7"/>
      <c r="AA39" s="7"/>
      <c r="AB39" s="7"/>
      <c r="AC39" s="7"/>
      <c r="AD39" s="7"/>
      <c r="AE39" s="7"/>
    </row>
    <row r="40" spans="1:31" x14ac:dyDescent="0.3">
      <c r="A40" s="196" t="s">
        <v>108</v>
      </c>
      <c r="B40" s="149">
        <v>125</v>
      </c>
      <c r="C40" s="165"/>
      <c r="D40" s="158">
        <v>0</v>
      </c>
      <c r="E40" s="191"/>
      <c r="F40" s="158">
        <v>0</v>
      </c>
      <c r="G40" s="191"/>
      <c r="H40" s="158">
        <v>1</v>
      </c>
      <c r="I40" s="191"/>
      <c r="J40" s="158">
        <v>1</v>
      </c>
      <c r="K40" s="191"/>
      <c r="L40" s="158">
        <v>0</v>
      </c>
      <c r="M40" s="191"/>
      <c r="N40" s="158">
        <v>0</v>
      </c>
      <c r="O40" s="189">
        <v>37</v>
      </c>
      <c r="P40" s="158">
        <v>0</v>
      </c>
      <c r="Q40" s="125"/>
      <c r="R40" s="126"/>
      <c r="S40" s="126"/>
      <c r="T40" s="126"/>
      <c r="U40" s="126"/>
      <c r="V40" s="7"/>
      <c r="W40" s="7"/>
      <c r="X40" s="7"/>
      <c r="Y40" s="7"/>
      <c r="Z40" s="7"/>
      <c r="AA40" s="7"/>
      <c r="AB40" s="7"/>
      <c r="AC40" s="7"/>
      <c r="AD40" s="7"/>
      <c r="AE40" s="7"/>
    </row>
    <row r="41" spans="1:31" ht="15" thickBot="1" x14ac:dyDescent="0.35">
      <c r="A41" s="142" t="s">
        <v>109</v>
      </c>
      <c r="B41" s="156">
        <v>350</v>
      </c>
      <c r="C41" s="123"/>
      <c r="D41" s="159">
        <v>0</v>
      </c>
      <c r="E41" s="141"/>
      <c r="F41" s="159">
        <v>0</v>
      </c>
      <c r="G41" s="141"/>
      <c r="H41" s="159">
        <v>0</v>
      </c>
      <c r="I41" s="141"/>
      <c r="J41" s="159">
        <v>0</v>
      </c>
      <c r="K41" s="141"/>
      <c r="L41" s="159">
        <v>0</v>
      </c>
      <c r="M41" s="141"/>
      <c r="N41" s="159">
        <v>0</v>
      </c>
      <c r="O41" s="134">
        <v>38</v>
      </c>
      <c r="P41" s="159">
        <v>0.5</v>
      </c>
      <c r="Q41" s="125"/>
      <c r="R41" s="126"/>
      <c r="S41" s="126"/>
      <c r="T41" s="126"/>
      <c r="U41" s="126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1" ht="15" thickBot="1" x14ac:dyDescent="0.35">
      <c r="A42" s="169" t="s">
        <v>110</v>
      </c>
      <c r="B42" s="170"/>
      <c r="C42" s="170"/>
      <c r="D42" s="171">
        <f t="array" ref="D42">SUM($B$38:$B$41*D38:D41)</f>
        <v>150</v>
      </c>
      <c r="E42" s="172"/>
      <c r="F42" s="171">
        <f t="array" ref="F42">SUM($B$38:$B$41*F38:F41)</f>
        <v>150</v>
      </c>
      <c r="G42" s="172"/>
      <c r="H42" s="171">
        <f t="array" ref="H42">SUM($B$38:$B$41*H38:H41)</f>
        <v>425</v>
      </c>
      <c r="I42" s="172"/>
      <c r="J42" s="171">
        <f t="array" ref="J42">SUM($B$38:$B$41*J38:J41)</f>
        <v>425</v>
      </c>
      <c r="K42" s="172"/>
      <c r="L42" s="171">
        <f t="array" ref="L42">SUM($B$38:$B$41*L38:L41)</f>
        <v>0</v>
      </c>
      <c r="M42" s="172"/>
      <c r="N42" s="171">
        <f t="array" ref="N42">SUM($B$38:$B$41*N38:N41)</f>
        <v>75</v>
      </c>
      <c r="O42" s="173">
        <v>39</v>
      </c>
      <c r="P42" s="171">
        <f t="array" ref="P42">SUM($B$38:$B$41*P38:P41)</f>
        <v>175</v>
      </c>
      <c r="Q42" s="140"/>
      <c r="R42" s="126"/>
      <c r="S42" s="126"/>
      <c r="T42" s="126"/>
      <c r="U42" s="126"/>
      <c r="V42" s="7"/>
      <c r="W42" s="7"/>
      <c r="X42" s="7"/>
      <c r="Y42" s="7"/>
      <c r="Z42" s="7"/>
      <c r="AA42" s="7"/>
      <c r="AB42" s="7"/>
      <c r="AC42" s="7"/>
      <c r="AD42" s="7"/>
      <c r="AE42" s="7"/>
    </row>
    <row r="43" spans="1:31" x14ac:dyDescent="0.3">
      <c r="A43" s="197" t="s">
        <v>111</v>
      </c>
      <c r="B43" s="148">
        <v>75</v>
      </c>
      <c r="C43" s="165"/>
      <c r="D43" s="157">
        <v>1</v>
      </c>
      <c r="E43" s="191"/>
      <c r="F43" s="157">
        <v>1</v>
      </c>
      <c r="G43" s="191"/>
      <c r="H43" s="157">
        <v>1</v>
      </c>
      <c r="I43" s="191"/>
      <c r="J43" s="157">
        <v>1</v>
      </c>
      <c r="K43" s="191"/>
      <c r="L43" s="157">
        <v>0.5</v>
      </c>
      <c r="M43" s="191"/>
      <c r="N43" s="157">
        <v>0.5</v>
      </c>
      <c r="O43" s="189">
        <v>40</v>
      </c>
      <c r="P43" s="157">
        <v>0</v>
      </c>
      <c r="Q43" s="125"/>
      <c r="R43" s="126"/>
      <c r="S43" s="126"/>
      <c r="T43" s="126"/>
      <c r="U43" s="126"/>
      <c r="V43" s="7"/>
      <c r="W43" s="7"/>
      <c r="X43" s="7"/>
      <c r="Y43" s="7"/>
      <c r="Z43" s="7"/>
      <c r="AA43" s="7"/>
      <c r="AB43" s="7"/>
      <c r="AC43" s="7"/>
      <c r="AD43" s="7"/>
      <c r="AE43" s="7"/>
    </row>
    <row r="44" spans="1:31" x14ac:dyDescent="0.3">
      <c r="A44" s="142" t="s">
        <v>112</v>
      </c>
      <c r="B44" s="149">
        <v>75</v>
      </c>
      <c r="C44" s="123"/>
      <c r="D44" s="158">
        <v>0</v>
      </c>
      <c r="E44" s="141"/>
      <c r="F44" s="158">
        <v>0</v>
      </c>
      <c r="G44" s="141"/>
      <c r="H44" s="158">
        <v>0</v>
      </c>
      <c r="I44" s="141"/>
      <c r="J44" s="158">
        <v>0</v>
      </c>
      <c r="K44" s="141"/>
      <c r="L44" s="158">
        <v>0</v>
      </c>
      <c r="M44" s="141"/>
      <c r="N44" s="158">
        <v>0</v>
      </c>
      <c r="O44" s="134">
        <v>41</v>
      </c>
      <c r="P44" s="158">
        <v>0</v>
      </c>
      <c r="Q44" s="125"/>
      <c r="R44" s="126"/>
      <c r="S44" s="126"/>
      <c r="T44" s="126"/>
      <c r="U44" s="126"/>
      <c r="V44" s="7"/>
      <c r="W44" s="7"/>
      <c r="X44" s="7"/>
      <c r="Y44" s="7"/>
      <c r="Z44" s="7"/>
      <c r="AA44" s="7"/>
      <c r="AB44" s="7"/>
      <c r="AC44" s="7"/>
      <c r="AD44" s="7"/>
      <c r="AE44" s="7"/>
    </row>
    <row r="45" spans="1:31" x14ac:dyDescent="0.3">
      <c r="A45" s="197" t="s">
        <v>113</v>
      </c>
      <c r="B45" s="149">
        <v>400</v>
      </c>
      <c r="C45" s="165"/>
      <c r="D45" s="158">
        <v>1</v>
      </c>
      <c r="E45" s="191"/>
      <c r="F45" s="158">
        <v>1</v>
      </c>
      <c r="G45" s="191"/>
      <c r="H45" s="158">
        <v>1</v>
      </c>
      <c r="I45" s="191"/>
      <c r="J45" s="143">
        <v>1</v>
      </c>
      <c r="K45" s="191"/>
      <c r="L45" s="158">
        <v>0</v>
      </c>
      <c r="M45" s="191"/>
      <c r="N45" s="158">
        <v>0</v>
      </c>
      <c r="O45" s="189">
        <v>42</v>
      </c>
      <c r="P45" s="158">
        <v>1</v>
      </c>
      <c r="Q45" s="125"/>
      <c r="R45" s="126"/>
      <c r="S45" s="126"/>
      <c r="T45" s="126"/>
      <c r="U45" s="126"/>
      <c r="V45" s="7"/>
      <c r="W45" s="7"/>
      <c r="X45" s="7"/>
      <c r="Y45" s="7"/>
      <c r="Z45" s="7"/>
      <c r="AA45" s="7"/>
      <c r="AB45" s="7"/>
      <c r="AC45" s="7"/>
      <c r="AD45" s="7"/>
      <c r="AE45" s="7"/>
    </row>
    <row r="46" spans="1:31" x14ac:dyDescent="0.3">
      <c r="A46" s="142" t="s">
        <v>114</v>
      </c>
      <c r="B46" s="149">
        <v>250</v>
      </c>
      <c r="C46" s="123"/>
      <c r="D46" s="158">
        <v>1</v>
      </c>
      <c r="E46" s="141"/>
      <c r="F46" s="158">
        <v>1</v>
      </c>
      <c r="G46" s="141"/>
      <c r="H46" s="158">
        <v>1</v>
      </c>
      <c r="I46" s="141"/>
      <c r="J46" s="158">
        <v>1</v>
      </c>
      <c r="K46" s="141"/>
      <c r="L46" s="158">
        <v>0</v>
      </c>
      <c r="M46" s="141"/>
      <c r="N46" s="158">
        <v>0</v>
      </c>
      <c r="O46" s="134">
        <v>43</v>
      </c>
      <c r="P46" s="158">
        <v>1</v>
      </c>
      <c r="Q46" s="125"/>
      <c r="R46" s="126"/>
      <c r="S46" s="126"/>
      <c r="T46" s="126"/>
      <c r="U46" s="126"/>
      <c r="V46" s="7"/>
      <c r="W46" s="7"/>
      <c r="X46" s="7"/>
      <c r="Y46" s="7"/>
      <c r="Z46" s="7"/>
      <c r="AA46" s="7"/>
      <c r="AB46" s="7"/>
      <c r="AC46" s="7"/>
      <c r="AD46" s="7"/>
      <c r="AE46" s="7"/>
    </row>
    <row r="47" spans="1:31" ht="15" thickBot="1" x14ac:dyDescent="0.35">
      <c r="A47" s="197" t="s">
        <v>115</v>
      </c>
      <c r="B47" s="156">
        <v>150</v>
      </c>
      <c r="C47" s="165"/>
      <c r="D47" s="159">
        <v>0</v>
      </c>
      <c r="E47" s="191"/>
      <c r="F47" s="159">
        <v>0</v>
      </c>
      <c r="G47" s="191"/>
      <c r="H47" s="159">
        <v>0</v>
      </c>
      <c r="I47" s="191"/>
      <c r="J47" s="144">
        <v>0</v>
      </c>
      <c r="K47" s="191"/>
      <c r="L47" s="159">
        <v>0</v>
      </c>
      <c r="M47" s="191"/>
      <c r="N47" s="159">
        <v>0</v>
      </c>
      <c r="O47" s="189">
        <v>44</v>
      </c>
      <c r="P47" s="159">
        <v>0.5</v>
      </c>
      <c r="Q47" s="125"/>
      <c r="R47" s="126"/>
      <c r="S47" s="126"/>
      <c r="T47" s="126"/>
      <c r="U47" s="126"/>
      <c r="V47" s="7"/>
      <c r="W47" s="7"/>
      <c r="X47" s="7"/>
      <c r="Y47" s="7"/>
      <c r="Z47" s="7"/>
      <c r="AA47" s="7"/>
      <c r="AB47" s="7"/>
      <c r="AC47" s="7"/>
      <c r="AD47" s="7"/>
      <c r="AE47" s="7"/>
    </row>
    <row r="48" spans="1:31" ht="15" thickBot="1" x14ac:dyDescent="0.35">
      <c r="A48" s="169" t="s">
        <v>116</v>
      </c>
      <c r="B48" s="174"/>
      <c r="C48" s="170"/>
      <c r="D48" s="171">
        <f t="array" ref="D48">SUM($B$43:$B$47*D43:D47)</f>
        <v>725</v>
      </c>
      <c r="E48" s="172"/>
      <c r="F48" s="171">
        <f t="array" ref="F48">SUM($B$43:$B$47*F43:F47)</f>
        <v>725</v>
      </c>
      <c r="G48" s="172"/>
      <c r="H48" s="171">
        <f t="array" ref="H48">SUM($B$43:$B$47*H43:H47)</f>
        <v>725</v>
      </c>
      <c r="I48" s="172"/>
      <c r="J48" s="171">
        <f t="array" ref="J48">SUM($B$43:$B$47*J43:J47)</f>
        <v>725</v>
      </c>
      <c r="K48" s="172"/>
      <c r="L48" s="171">
        <f t="array" ref="L48">SUM($B$43:$B$47*L43:L47)</f>
        <v>37.5</v>
      </c>
      <c r="M48" s="172"/>
      <c r="N48" s="171">
        <f t="array" ref="N48">SUM($B$43:$B$47*N43:N47)</f>
        <v>37.5</v>
      </c>
      <c r="O48" s="173">
        <v>43</v>
      </c>
      <c r="P48" s="171">
        <f t="array" ref="P48">SUM($B$43:$B$47*P43:P47)</f>
        <v>725</v>
      </c>
      <c r="Q48" s="140"/>
      <c r="R48" s="126"/>
      <c r="S48" s="126"/>
      <c r="T48" s="126"/>
      <c r="U48" s="126"/>
      <c r="V48" s="7"/>
      <c r="W48" s="7"/>
      <c r="X48" s="7"/>
      <c r="Y48" s="7"/>
      <c r="Z48" s="7"/>
      <c r="AA48" s="7"/>
      <c r="AB48" s="7"/>
      <c r="AC48" s="7"/>
      <c r="AD48" s="7"/>
      <c r="AE48" s="7"/>
    </row>
    <row r="49" spans="1:31" ht="15" thickBot="1" x14ac:dyDescent="0.35">
      <c r="A49" s="122" t="s">
        <v>117</v>
      </c>
      <c r="B49" s="160">
        <v>0.3</v>
      </c>
      <c r="C49" s="123"/>
      <c r="D49" s="164">
        <v>450</v>
      </c>
      <c r="E49" s="124"/>
      <c r="F49" s="164">
        <v>400</v>
      </c>
      <c r="G49" s="124"/>
      <c r="H49" s="164">
        <v>200</v>
      </c>
      <c r="I49" s="124"/>
      <c r="J49" s="164">
        <v>200</v>
      </c>
      <c r="K49" s="124"/>
      <c r="L49" s="163">
        <v>200</v>
      </c>
      <c r="M49" s="124"/>
      <c r="N49" s="163">
        <v>225</v>
      </c>
      <c r="O49" s="134">
        <v>45</v>
      </c>
      <c r="P49" s="163">
        <v>0</v>
      </c>
      <c r="Q49" s="125"/>
      <c r="R49" s="126"/>
      <c r="S49" s="126"/>
      <c r="T49" s="126"/>
      <c r="U49" s="126"/>
      <c r="V49" s="7"/>
      <c r="W49" s="7"/>
      <c r="X49" s="7"/>
      <c r="Y49" s="7"/>
      <c r="Z49" s="7"/>
      <c r="AA49" s="7"/>
      <c r="AB49" s="7"/>
      <c r="AC49" s="7"/>
      <c r="AD49" s="7"/>
      <c r="AE49" s="7"/>
    </row>
    <row r="50" spans="1:31" ht="15" thickBot="1" x14ac:dyDescent="0.35">
      <c r="A50" s="196" t="s">
        <v>118</v>
      </c>
      <c r="B50" s="156">
        <v>28</v>
      </c>
      <c r="C50" s="165"/>
      <c r="D50" s="161">
        <v>0</v>
      </c>
      <c r="E50" s="193"/>
      <c r="F50" s="161">
        <v>0</v>
      </c>
      <c r="G50" s="193"/>
      <c r="H50" s="161">
        <v>0</v>
      </c>
      <c r="I50" s="193"/>
      <c r="J50" s="161">
        <v>0</v>
      </c>
      <c r="K50" s="193"/>
      <c r="L50" s="161">
        <v>0</v>
      </c>
      <c r="M50" s="193"/>
      <c r="N50" s="161">
        <v>0</v>
      </c>
      <c r="O50" s="189">
        <v>46</v>
      </c>
      <c r="P50" s="161">
        <v>0</v>
      </c>
      <c r="Q50" s="125"/>
      <c r="R50" s="126"/>
      <c r="S50" s="126"/>
      <c r="T50" s="126"/>
      <c r="U50" s="126"/>
      <c r="V50" s="7"/>
      <c r="W50" s="7"/>
      <c r="X50" s="7"/>
      <c r="Y50" s="7"/>
      <c r="Z50" s="7"/>
      <c r="AA50" s="7"/>
      <c r="AB50" s="7"/>
      <c r="AC50" s="7"/>
      <c r="AD50" s="7"/>
      <c r="AE50" s="7"/>
    </row>
    <row r="51" spans="1:31" ht="15" thickBot="1" x14ac:dyDescent="0.35">
      <c r="A51" s="127"/>
      <c r="B51" s="135" t="s">
        <v>119</v>
      </c>
      <c r="C51" s="123"/>
      <c r="D51" s="162">
        <v>8</v>
      </c>
      <c r="E51" s="124"/>
      <c r="F51" s="162">
        <v>8</v>
      </c>
      <c r="G51" s="124"/>
      <c r="H51" s="162">
        <v>4</v>
      </c>
      <c r="I51" s="124"/>
      <c r="J51" s="162">
        <v>4</v>
      </c>
      <c r="K51" s="124"/>
      <c r="L51" s="162">
        <v>2</v>
      </c>
      <c r="M51" s="124"/>
      <c r="N51" s="162">
        <v>4</v>
      </c>
      <c r="O51" s="134">
        <v>47</v>
      </c>
      <c r="P51" s="162">
        <v>0</v>
      </c>
      <c r="Q51" s="125"/>
      <c r="R51" s="126"/>
      <c r="S51" s="126"/>
      <c r="T51" s="126"/>
      <c r="U51" s="126"/>
      <c r="V51" s="7"/>
      <c r="W51" s="7"/>
      <c r="X51" s="7"/>
      <c r="Y51" s="7"/>
      <c r="Z51" s="7"/>
      <c r="AA51" s="7"/>
      <c r="AB51" s="7"/>
      <c r="AC51" s="7"/>
      <c r="AD51" s="7"/>
      <c r="AE51" s="7"/>
    </row>
    <row r="52" spans="1:31" x14ac:dyDescent="0.3">
      <c r="A52" s="169" t="s">
        <v>120</v>
      </c>
      <c r="B52" s="170"/>
      <c r="C52" s="175"/>
      <c r="D52" s="171">
        <f>(D49+D50*$B$50)*(1+$B$49)</f>
        <v>585</v>
      </c>
      <c r="E52" s="167"/>
      <c r="F52" s="171">
        <f>(F49+F50*$B$50)*(1+$B$49)</f>
        <v>520</v>
      </c>
      <c r="G52" s="167"/>
      <c r="H52" s="171">
        <f>(H49+H50*$B$50)*(1+$B$49)</f>
        <v>260</v>
      </c>
      <c r="I52" s="167"/>
      <c r="J52" s="171">
        <f>(J49+J50*$B$50)*(1+$B$49)</f>
        <v>260</v>
      </c>
      <c r="K52" s="167"/>
      <c r="L52" s="171">
        <f>(L49+L50*$B$50)*(1+$B$49)</f>
        <v>260</v>
      </c>
      <c r="M52" s="167"/>
      <c r="N52" s="171">
        <f>(N49+N50*$B$50)*(1+$B$49)</f>
        <v>292.5</v>
      </c>
      <c r="O52" s="168">
        <v>47</v>
      </c>
      <c r="P52" s="171">
        <f>(P49+P50*$B$50)*(1+$B$49)</f>
        <v>0</v>
      </c>
      <c r="Q52" s="140"/>
      <c r="R52" s="126"/>
      <c r="S52" s="126"/>
      <c r="T52" s="126"/>
      <c r="U52" s="126"/>
      <c r="V52" s="7"/>
      <c r="W52" s="7"/>
      <c r="X52" s="7"/>
      <c r="Y52" s="7"/>
      <c r="Z52" s="7"/>
      <c r="AA52" s="7"/>
      <c r="AB52" s="7"/>
      <c r="AC52" s="7"/>
      <c r="AD52" s="7"/>
      <c r="AE52" s="7"/>
    </row>
    <row r="53" spans="1:31" ht="15" thickBot="1" x14ac:dyDescent="0.35">
      <c r="A53" s="176"/>
      <c r="B53" s="177"/>
      <c r="C53" s="176" t="s">
        <v>121</v>
      </c>
      <c r="D53" s="178">
        <f>D52+D48+D42+D37</f>
        <v>1953.0288</v>
      </c>
      <c r="E53" s="179"/>
      <c r="F53" s="178">
        <f>F52+F48+F42+F37</f>
        <v>1855.3288</v>
      </c>
      <c r="G53" s="179"/>
      <c r="H53" s="178">
        <f>H52+H48+H42+H37</f>
        <v>1823.4697000000001</v>
      </c>
      <c r="I53" s="179"/>
      <c r="J53" s="178">
        <f>J52+J48+J42+J37</f>
        <v>1823.4697000000001</v>
      </c>
      <c r="K53" s="179"/>
      <c r="L53" s="178">
        <f>L52+L48+L42+L37</f>
        <v>531.5775000000001</v>
      </c>
      <c r="M53" s="179"/>
      <c r="N53" s="178">
        <f>N52+N48+N42+N37</f>
        <v>499.86270000000002</v>
      </c>
      <c r="O53" s="180">
        <v>48</v>
      </c>
      <c r="P53" s="178">
        <f>P52+P48+P42+P37</f>
        <v>1800.1220000000001</v>
      </c>
      <c r="Q53" s="125"/>
      <c r="R53" s="126"/>
      <c r="S53" s="126"/>
      <c r="T53" s="126"/>
      <c r="U53" s="126"/>
      <c r="V53" s="7"/>
      <c r="W53" s="7"/>
      <c r="X53" s="7"/>
      <c r="Y53" s="7"/>
      <c r="Z53" s="7"/>
      <c r="AA53" s="7"/>
      <c r="AB53" s="7"/>
      <c r="AC53" s="7"/>
      <c r="AD53" s="7"/>
      <c r="AE53" s="7"/>
    </row>
    <row r="54" spans="1:31" x14ac:dyDescent="0.3">
      <c r="A54" s="127"/>
      <c r="B54" s="145"/>
      <c r="C54" s="145"/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7"/>
      <c r="P54" s="146"/>
      <c r="Q54" s="125"/>
      <c r="R54" s="126"/>
      <c r="S54" s="126"/>
      <c r="T54" s="126"/>
      <c r="U54" s="126"/>
      <c r="V54" s="7"/>
      <c r="W54" s="7"/>
      <c r="X54" s="7"/>
      <c r="Y54" s="7"/>
      <c r="Z54" s="7"/>
      <c r="AA54" s="7"/>
      <c r="AB54" s="7"/>
      <c r="AC54" s="7"/>
      <c r="AD54" s="7"/>
      <c r="AE54" s="7"/>
    </row>
    <row r="55" spans="1:31" x14ac:dyDescent="0.3">
      <c r="A55" s="127"/>
      <c r="B55" s="145"/>
      <c r="C55" s="145"/>
      <c r="D55" s="146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25"/>
      <c r="R55" s="126"/>
      <c r="S55" s="126"/>
      <c r="T55" s="126"/>
      <c r="U55" s="126"/>
      <c r="V55" s="7"/>
      <c r="W55" s="7"/>
      <c r="X55" s="7"/>
      <c r="Y55" s="7"/>
      <c r="Z55" s="7"/>
      <c r="AA55" s="7"/>
      <c r="AB55" s="7"/>
      <c r="AC55" s="7"/>
      <c r="AD55" s="7"/>
      <c r="AE55" s="7"/>
    </row>
    <row r="56" spans="1:31" x14ac:dyDescent="0.3">
      <c r="A56" s="127"/>
      <c r="B56" s="145"/>
      <c r="C56" s="145"/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25"/>
      <c r="R56" s="126"/>
      <c r="S56" s="126"/>
      <c r="T56" s="126"/>
      <c r="U56" s="126"/>
      <c r="V56" s="7"/>
      <c r="W56" s="7"/>
      <c r="X56" s="7"/>
      <c r="Y56" s="7"/>
      <c r="Z56" s="7"/>
      <c r="AA56" s="7"/>
      <c r="AB56" s="7"/>
      <c r="AC56" s="7"/>
      <c r="AD56" s="7"/>
      <c r="AE56" s="7"/>
    </row>
    <row r="57" spans="1:31" x14ac:dyDescent="0.3">
      <c r="Q57" s="8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</row>
    <row r="58" spans="1:31" x14ac:dyDescent="0.3">
      <c r="Q58" s="8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</row>
    <row r="59" spans="1:31" x14ac:dyDescent="0.3">
      <c r="Q59" s="8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</row>
    <row r="60" spans="1:31" x14ac:dyDescent="0.3">
      <c r="Q60" s="8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</row>
    <row r="61" spans="1:31" x14ac:dyDescent="0.3">
      <c r="Q61" s="8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</row>
    <row r="62" spans="1:31" x14ac:dyDescent="0.3">
      <c r="Q62" s="8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</row>
    <row r="63" spans="1:31" x14ac:dyDescent="0.3">
      <c r="Q63" s="8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</row>
    <row r="64" spans="1:31" x14ac:dyDescent="0.3">
      <c r="Q64" s="8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</row>
    <row r="65" spans="17:31" x14ac:dyDescent="0.3">
      <c r="Q65" s="8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</row>
    <row r="66" spans="17:31" x14ac:dyDescent="0.3">
      <c r="Q66" s="8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</row>
    <row r="67" spans="17:31" x14ac:dyDescent="0.3">
      <c r="Q67" s="8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</row>
    <row r="68" spans="17:31" x14ac:dyDescent="0.3">
      <c r="Q68" s="8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</row>
  </sheetData>
  <printOptions horizontalCentered="1" verticalCentered="1"/>
  <pageMargins left="0.2" right="0.2" top="0.2" bottom="0.2" header="0.3" footer="0.3"/>
  <pageSetup scale="78" orientation="landscape"/>
  <headerFooter>
    <oddFooter>&amp;L&amp;F&amp;D&amp;T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AB49"/>
  <sheetViews>
    <sheetView showGridLines="0" zoomScaleNormal="100" zoomScalePageLayoutView="93" workbookViewId="0">
      <selection activeCell="C50" sqref="C50"/>
    </sheetView>
  </sheetViews>
  <sheetFormatPr defaultColWidth="8.88671875" defaultRowHeight="14.4" x14ac:dyDescent="0.3"/>
  <cols>
    <col min="1" max="1" width="2.88671875" customWidth="1"/>
    <col min="2" max="2" width="20.6640625" style="1" customWidth="1"/>
    <col min="3" max="27" width="20.6640625" customWidth="1"/>
  </cols>
  <sheetData>
    <row r="1" spans="1:28" ht="32.25" customHeight="1" x14ac:dyDescent="0.3">
      <c r="A1" s="49"/>
      <c r="B1" s="234" t="s">
        <v>122</v>
      </c>
      <c r="C1" s="257" t="s">
        <v>123</v>
      </c>
      <c r="D1" s="235"/>
      <c r="E1" s="235"/>
      <c r="F1" s="235"/>
      <c r="G1" s="235"/>
      <c r="H1" s="236"/>
      <c r="I1" s="236"/>
      <c r="J1" s="236"/>
      <c r="K1" s="236"/>
      <c r="L1" s="212"/>
      <c r="M1" s="212"/>
      <c r="N1" s="212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199"/>
    </row>
    <row r="2" spans="1:28" x14ac:dyDescent="0.3">
      <c r="A2" s="49"/>
      <c r="B2" s="32"/>
      <c r="C2" s="297" t="s">
        <v>124</v>
      </c>
      <c r="D2" s="298"/>
      <c r="E2" s="298"/>
      <c r="F2" s="298"/>
      <c r="G2" s="299"/>
      <c r="H2" s="297" t="s">
        <v>125</v>
      </c>
      <c r="I2" s="298"/>
      <c r="J2" s="298"/>
      <c r="K2" s="298"/>
      <c r="L2" s="299"/>
      <c r="M2" s="297" t="s">
        <v>126</v>
      </c>
      <c r="N2" s="298"/>
      <c r="O2" s="298"/>
      <c r="P2" s="298"/>
      <c r="Q2" s="299"/>
      <c r="R2" s="297" t="s">
        <v>127</v>
      </c>
      <c r="S2" s="298"/>
      <c r="T2" s="298"/>
      <c r="U2" s="298"/>
      <c r="V2" s="299"/>
      <c r="W2" s="297" t="s">
        <v>128</v>
      </c>
      <c r="X2" s="298"/>
      <c r="Y2" s="298"/>
      <c r="Z2" s="298"/>
      <c r="AA2" s="299"/>
      <c r="AB2" s="199"/>
    </row>
    <row r="3" spans="1:28" ht="15" thickBot="1" x14ac:dyDescent="0.35">
      <c r="A3" s="49"/>
      <c r="B3" s="71"/>
      <c r="C3" s="300" t="s">
        <v>129</v>
      </c>
      <c r="D3" s="301"/>
      <c r="E3" s="301"/>
      <c r="F3" s="301"/>
      <c r="G3" s="302"/>
      <c r="H3" s="300" t="s">
        <v>130</v>
      </c>
      <c r="I3" s="301"/>
      <c r="J3" s="301"/>
      <c r="K3" s="301"/>
      <c r="L3" s="302"/>
      <c r="M3" s="300" t="s">
        <v>131</v>
      </c>
      <c r="N3" s="301"/>
      <c r="O3" s="301"/>
      <c r="P3" s="301"/>
      <c r="Q3" s="302"/>
      <c r="R3" s="300" t="s">
        <v>132</v>
      </c>
      <c r="S3" s="301"/>
      <c r="T3" s="301"/>
      <c r="U3" s="301"/>
      <c r="V3" s="302"/>
      <c r="W3" s="300" t="s">
        <v>133</v>
      </c>
      <c r="X3" s="301"/>
      <c r="Y3" s="301"/>
      <c r="Z3" s="301"/>
      <c r="AA3" s="302"/>
      <c r="AB3" s="199"/>
    </row>
    <row r="4" spans="1:28" ht="15" thickBot="1" x14ac:dyDescent="0.35">
      <c r="A4" s="49"/>
      <c r="B4" s="71" t="s">
        <v>134</v>
      </c>
      <c r="C4" s="269" t="s">
        <v>135</v>
      </c>
      <c r="D4" s="270" t="s">
        <v>136</v>
      </c>
      <c r="E4" s="270" t="s">
        <v>137</v>
      </c>
      <c r="F4" s="270" t="s">
        <v>138</v>
      </c>
      <c r="G4" s="271" t="s">
        <v>139</v>
      </c>
      <c r="H4" s="272" t="s">
        <v>135</v>
      </c>
      <c r="I4" s="270" t="s">
        <v>136</v>
      </c>
      <c r="J4" s="270" t="s">
        <v>137</v>
      </c>
      <c r="K4" s="270" t="s">
        <v>138</v>
      </c>
      <c r="L4" s="271" t="s">
        <v>139</v>
      </c>
      <c r="M4" s="272" t="s">
        <v>135</v>
      </c>
      <c r="N4" s="270" t="s">
        <v>136</v>
      </c>
      <c r="O4" s="270" t="s">
        <v>137</v>
      </c>
      <c r="P4" s="270" t="s">
        <v>138</v>
      </c>
      <c r="Q4" s="271" t="s">
        <v>139</v>
      </c>
      <c r="R4" s="272" t="s">
        <v>135</v>
      </c>
      <c r="S4" s="270" t="s">
        <v>136</v>
      </c>
      <c r="T4" s="270" t="s">
        <v>137</v>
      </c>
      <c r="U4" s="270" t="s">
        <v>138</v>
      </c>
      <c r="V4" s="271" t="s">
        <v>139</v>
      </c>
      <c r="W4" s="272" t="s">
        <v>135</v>
      </c>
      <c r="X4" s="270" t="s">
        <v>136</v>
      </c>
      <c r="Y4" s="270" t="s">
        <v>137</v>
      </c>
      <c r="Z4" s="270" t="s">
        <v>138</v>
      </c>
      <c r="AA4" s="273" t="s">
        <v>139</v>
      </c>
      <c r="AB4" s="199"/>
    </row>
    <row r="5" spans="1:28" ht="15" thickBot="1" x14ac:dyDescent="0.35">
      <c r="A5" s="49"/>
      <c r="B5" s="71" t="s">
        <v>140</v>
      </c>
      <c r="C5" s="200">
        <v>5</v>
      </c>
      <c r="D5" s="202">
        <v>1</v>
      </c>
      <c r="E5" s="202">
        <v>20</v>
      </c>
      <c r="F5" s="202">
        <v>5</v>
      </c>
      <c r="G5" s="201">
        <v>0</v>
      </c>
      <c r="H5" s="200">
        <v>10</v>
      </c>
      <c r="I5" s="202">
        <v>10</v>
      </c>
      <c r="J5" s="202" t="s">
        <v>141</v>
      </c>
      <c r="K5" s="202" t="s">
        <v>141</v>
      </c>
      <c r="L5" s="201">
        <v>1</v>
      </c>
      <c r="M5" s="200">
        <v>10</v>
      </c>
      <c r="N5" s="202">
        <v>10</v>
      </c>
      <c r="O5" s="202" t="s">
        <v>142</v>
      </c>
      <c r="P5" s="202" t="s">
        <v>142</v>
      </c>
      <c r="Q5" s="201">
        <v>2</v>
      </c>
      <c r="R5" s="200">
        <v>12</v>
      </c>
      <c r="S5" s="202">
        <v>12</v>
      </c>
      <c r="T5" s="202" t="s">
        <v>142</v>
      </c>
      <c r="U5" s="202" t="s">
        <v>142</v>
      </c>
      <c r="V5" s="201">
        <v>3</v>
      </c>
      <c r="W5" s="200">
        <v>15</v>
      </c>
      <c r="X5" s="202">
        <v>15</v>
      </c>
      <c r="Y5" s="202" t="s">
        <v>142</v>
      </c>
      <c r="Z5" s="202" t="s">
        <v>142</v>
      </c>
      <c r="AA5" s="201">
        <v>5</v>
      </c>
      <c r="AB5" s="199"/>
    </row>
    <row r="6" spans="1:28" ht="15" thickBot="1" x14ac:dyDescent="0.35">
      <c r="A6" s="258"/>
      <c r="B6" s="267" t="s">
        <v>143</v>
      </c>
      <c r="C6" s="274" t="s">
        <v>144</v>
      </c>
      <c r="D6" s="265" t="s">
        <v>145</v>
      </c>
      <c r="E6" s="265" t="s">
        <v>146</v>
      </c>
      <c r="F6" s="265" t="s">
        <v>147</v>
      </c>
      <c r="G6" s="265" t="str">
        <f>C$3</f>
        <v>The Value Line</v>
      </c>
      <c r="H6" s="265" t="s">
        <v>144</v>
      </c>
      <c r="I6" s="265" t="s">
        <v>145</v>
      </c>
      <c r="J6" s="265" t="s">
        <v>146</v>
      </c>
      <c r="K6" s="265" t="s">
        <v>147</v>
      </c>
      <c r="L6" s="265" t="str">
        <f>H$3</f>
        <v>The Prestige</v>
      </c>
      <c r="M6" s="265" t="s">
        <v>144</v>
      </c>
      <c r="N6" s="265" t="s">
        <v>145</v>
      </c>
      <c r="O6" s="265" t="s">
        <v>146</v>
      </c>
      <c r="P6" s="265" t="s">
        <v>147</v>
      </c>
      <c r="Q6" s="265" t="str">
        <f>M$3</f>
        <v>The Supreme</v>
      </c>
      <c r="R6" s="265" t="s">
        <v>144</v>
      </c>
      <c r="S6" s="265" t="s">
        <v>145</v>
      </c>
      <c r="T6" s="265" t="s">
        <v>146</v>
      </c>
      <c r="U6" s="265" t="s">
        <v>147</v>
      </c>
      <c r="V6" s="265" t="str">
        <f>R$3</f>
        <v>The Optimum</v>
      </c>
      <c r="W6" s="265" t="s">
        <v>144</v>
      </c>
      <c r="X6" s="265" t="s">
        <v>145</v>
      </c>
      <c r="Y6" s="265" t="s">
        <v>146</v>
      </c>
      <c r="Z6" s="265" t="s">
        <v>147</v>
      </c>
      <c r="AA6" s="266" t="str">
        <f>W$3</f>
        <v>The Ultimate</v>
      </c>
      <c r="AB6" s="36"/>
    </row>
    <row r="7" spans="1:28" x14ac:dyDescent="0.3">
      <c r="A7" s="34"/>
      <c r="B7" s="262">
        <v>2</v>
      </c>
      <c r="C7" s="218">
        <v>604</v>
      </c>
      <c r="D7" s="217">
        <v>412</v>
      </c>
      <c r="E7" s="204">
        <v>180</v>
      </c>
      <c r="F7" s="217">
        <v>0</v>
      </c>
      <c r="G7" s="264">
        <f>SUM(C7:F7)*(1+'System Variables'!$B$3)</f>
        <v>1303.6400000000001</v>
      </c>
      <c r="H7" s="203">
        <v>943</v>
      </c>
      <c r="I7" s="204">
        <v>470</v>
      </c>
      <c r="J7" s="204">
        <v>240</v>
      </c>
      <c r="K7" s="204">
        <v>380</v>
      </c>
      <c r="L7" s="253">
        <f>SUM(H7:K7)*(1+'System Variables'!$B$3)</f>
        <v>2215.9700000000003</v>
      </c>
      <c r="M7" s="203">
        <v>1400</v>
      </c>
      <c r="N7" s="204">
        <v>621</v>
      </c>
      <c r="O7" s="204">
        <v>240</v>
      </c>
      <c r="P7" s="204">
        <v>460</v>
      </c>
      <c r="Q7" s="264">
        <f>SUM(M7:P7)*(1+'System Variables'!$B$3)</f>
        <v>2965.8900000000003</v>
      </c>
      <c r="R7" s="203">
        <v>1400</v>
      </c>
      <c r="S7" s="204">
        <v>805</v>
      </c>
      <c r="T7" s="204">
        <v>292</v>
      </c>
      <c r="U7" s="204">
        <v>540</v>
      </c>
      <c r="V7" s="253">
        <f>SUM(R7:U7)*(1+'System Variables'!$B$3)</f>
        <v>3310.3300000000004</v>
      </c>
      <c r="W7" s="203">
        <v>1400</v>
      </c>
      <c r="X7" s="204">
        <v>0</v>
      </c>
      <c r="Y7" s="204">
        <v>0</v>
      </c>
      <c r="Z7" s="204">
        <v>0</v>
      </c>
      <c r="AA7" s="253">
        <f>SUM(W7:Z7)*(1+'System Variables'!$B$3)</f>
        <v>1526</v>
      </c>
      <c r="AB7" s="36"/>
    </row>
    <row r="8" spans="1:28" x14ac:dyDescent="0.3">
      <c r="A8" s="34"/>
      <c r="B8" s="263">
        <v>2.5</v>
      </c>
      <c r="C8" s="213">
        <v>633</v>
      </c>
      <c r="D8" s="214">
        <v>412</v>
      </c>
      <c r="E8" s="206">
        <v>211</v>
      </c>
      <c r="F8" s="214">
        <v>0</v>
      </c>
      <c r="G8" s="251">
        <f>SUM(C8:F8)*(1+'System Variables'!$B$3)</f>
        <v>1369.0400000000002</v>
      </c>
      <c r="H8" s="205">
        <v>966</v>
      </c>
      <c r="I8" s="206">
        <v>470</v>
      </c>
      <c r="J8" s="206">
        <v>254</v>
      </c>
      <c r="K8" s="206">
        <v>380</v>
      </c>
      <c r="L8" s="254">
        <f>SUM(H8:K8)*(1+'System Variables'!$B$3)</f>
        <v>2256.3000000000002</v>
      </c>
      <c r="M8" s="205">
        <v>1400</v>
      </c>
      <c r="N8" s="206">
        <v>675</v>
      </c>
      <c r="O8" s="206">
        <v>254</v>
      </c>
      <c r="P8" s="206">
        <v>460</v>
      </c>
      <c r="Q8" s="251">
        <f>SUM(M8:P8)*(1+'System Variables'!$B$3)</f>
        <v>3040.01</v>
      </c>
      <c r="R8" s="205">
        <v>1400</v>
      </c>
      <c r="S8" s="206">
        <v>859</v>
      </c>
      <c r="T8" s="206">
        <v>339</v>
      </c>
      <c r="U8" s="206">
        <v>540</v>
      </c>
      <c r="V8" s="254">
        <f>SUM(R8:U8)*(1+'System Variables'!$B$3)</f>
        <v>3420.42</v>
      </c>
      <c r="W8" s="205">
        <v>1400</v>
      </c>
      <c r="X8" s="206">
        <v>805</v>
      </c>
      <c r="Y8" s="206">
        <v>317</v>
      </c>
      <c r="Z8" s="206">
        <v>900</v>
      </c>
      <c r="AA8" s="254">
        <f>SUM(W8:Z8)*(1+'System Variables'!$B$3)</f>
        <v>3729.9800000000005</v>
      </c>
      <c r="AB8" s="36"/>
    </row>
    <row r="9" spans="1:28" ht="14.85" customHeight="1" x14ac:dyDescent="0.3">
      <c r="A9" s="34"/>
      <c r="B9" s="263">
        <v>3</v>
      </c>
      <c r="C9" s="213">
        <v>711</v>
      </c>
      <c r="D9" s="214">
        <v>436</v>
      </c>
      <c r="E9" s="206">
        <v>240</v>
      </c>
      <c r="F9" s="214">
        <v>0</v>
      </c>
      <c r="G9" s="251">
        <f>SUM(C9:F9)*(1+'System Variables'!$B$3)</f>
        <v>1511.8300000000002</v>
      </c>
      <c r="H9" s="205">
        <v>1095</v>
      </c>
      <c r="I9" s="206">
        <v>497</v>
      </c>
      <c r="J9" s="206">
        <v>318</v>
      </c>
      <c r="K9" s="206">
        <v>380</v>
      </c>
      <c r="L9" s="254">
        <f>SUM(H9:K9)*(1+'System Variables'!$B$3)</f>
        <v>2496.1000000000004</v>
      </c>
      <c r="M9" s="205">
        <v>1400</v>
      </c>
      <c r="N9" s="206">
        <v>675</v>
      </c>
      <c r="O9" s="206">
        <v>425</v>
      </c>
      <c r="P9" s="206">
        <v>460</v>
      </c>
      <c r="Q9" s="251">
        <f>SUM(M9:P9)*(1+'System Variables'!$B$3)</f>
        <v>3226.4</v>
      </c>
      <c r="R9" s="205">
        <v>1400</v>
      </c>
      <c r="S9" s="206">
        <v>859</v>
      </c>
      <c r="T9" s="206">
        <v>339</v>
      </c>
      <c r="U9" s="206">
        <v>540</v>
      </c>
      <c r="V9" s="254">
        <f>SUM(R9:U9)*(1+'System Variables'!$B$3)</f>
        <v>3420.42</v>
      </c>
      <c r="W9" s="205">
        <v>1400</v>
      </c>
      <c r="X9" s="206">
        <v>805</v>
      </c>
      <c r="Y9" s="206">
        <v>317</v>
      </c>
      <c r="Z9" s="206">
        <v>900</v>
      </c>
      <c r="AA9" s="254">
        <f>SUM(W9:Z9)*(1+'System Variables'!$B$3)</f>
        <v>3729.9800000000005</v>
      </c>
      <c r="AB9" s="36"/>
    </row>
    <row r="10" spans="1:28" ht="14.85" customHeight="1" x14ac:dyDescent="0.3">
      <c r="A10" s="34"/>
      <c r="B10" s="263">
        <v>3.5</v>
      </c>
      <c r="C10" s="213">
        <v>808</v>
      </c>
      <c r="D10" s="214">
        <v>485</v>
      </c>
      <c r="E10" s="206">
        <v>287</v>
      </c>
      <c r="F10" s="214">
        <v>0</v>
      </c>
      <c r="G10" s="251">
        <f>SUM(C10:F10)*(1+'System Variables'!$B$3)</f>
        <v>1722.2</v>
      </c>
      <c r="H10" s="205">
        <v>1232</v>
      </c>
      <c r="I10" s="206">
        <v>550</v>
      </c>
      <c r="J10" s="206">
        <v>337</v>
      </c>
      <c r="K10" s="206">
        <v>380</v>
      </c>
      <c r="L10" s="254">
        <f>SUM(H10:K10)*(1+'System Variables'!$B$3)</f>
        <v>2723.9100000000003</v>
      </c>
      <c r="M10" s="205">
        <v>1400</v>
      </c>
      <c r="N10" s="206">
        <v>675</v>
      </c>
      <c r="O10" s="206">
        <v>425</v>
      </c>
      <c r="P10" s="206">
        <v>460</v>
      </c>
      <c r="Q10" s="251">
        <f>SUM(M10:P10)*(1+'System Variables'!$B$3)</f>
        <v>3226.4</v>
      </c>
      <c r="R10" s="205">
        <v>1400</v>
      </c>
      <c r="S10" s="206">
        <v>859</v>
      </c>
      <c r="T10" s="206">
        <v>389</v>
      </c>
      <c r="U10" s="206">
        <v>540</v>
      </c>
      <c r="V10" s="254">
        <f>SUM(R10:U10)*(1+'System Variables'!$B$3)</f>
        <v>3474.92</v>
      </c>
      <c r="W10" s="205">
        <v>1400</v>
      </c>
      <c r="X10" s="206">
        <v>859</v>
      </c>
      <c r="Y10" s="206">
        <v>369</v>
      </c>
      <c r="Z10" s="206">
        <v>900</v>
      </c>
      <c r="AA10" s="254">
        <f>SUM(W10:Z10)*(1+'System Variables'!$B$3)</f>
        <v>3845.5200000000004</v>
      </c>
      <c r="AB10" s="36"/>
    </row>
    <row r="11" spans="1:28" ht="14.85" customHeight="1" x14ac:dyDescent="0.3">
      <c r="A11" s="34"/>
      <c r="B11" s="263">
        <v>4</v>
      </c>
      <c r="C11" s="213">
        <v>878</v>
      </c>
      <c r="D11" s="214">
        <v>485</v>
      </c>
      <c r="E11" s="206">
        <v>337</v>
      </c>
      <c r="F11" s="214">
        <v>0</v>
      </c>
      <c r="G11" s="251">
        <f>SUM(C11:F11)*(1+'System Variables'!$B$3)</f>
        <v>1853.0000000000002</v>
      </c>
      <c r="H11" s="205">
        <v>1338</v>
      </c>
      <c r="I11" s="206">
        <v>532</v>
      </c>
      <c r="J11" s="206">
        <v>337</v>
      </c>
      <c r="K11" s="206">
        <v>380</v>
      </c>
      <c r="L11" s="254">
        <f>SUM(H11:K11)*(1+'System Variables'!$B$3)</f>
        <v>2819.8300000000004</v>
      </c>
      <c r="M11" s="205">
        <v>1400</v>
      </c>
      <c r="N11" s="206">
        <v>675</v>
      </c>
      <c r="O11" s="206">
        <v>425</v>
      </c>
      <c r="P11" s="206">
        <v>460</v>
      </c>
      <c r="Q11" s="251">
        <f>SUM(M11:P11)*(1+'System Variables'!$B$3)</f>
        <v>3226.4</v>
      </c>
      <c r="R11" s="205">
        <v>1400</v>
      </c>
      <c r="S11" s="206">
        <v>859</v>
      </c>
      <c r="T11" s="206">
        <v>389</v>
      </c>
      <c r="U11" s="206">
        <v>540</v>
      </c>
      <c r="V11" s="254">
        <f>SUM(R11:U11)*(1+'System Variables'!$B$3)</f>
        <v>3474.92</v>
      </c>
      <c r="W11" s="205">
        <v>1400</v>
      </c>
      <c r="X11" s="206">
        <v>859</v>
      </c>
      <c r="Y11" s="206">
        <v>369</v>
      </c>
      <c r="Z11" s="206">
        <v>900</v>
      </c>
      <c r="AA11" s="254">
        <f>SUM(W11:Z11)*(1+'System Variables'!$B$3)</f>
        <v>3845.5200000000004</v>
      </c>
      <c r="AB11" s="36"/>
    </row>
    <row r="12" spans="1:28" ht="15" customHeight="1" thickBot="1" x14ac:dyDescent="0.35">
      <c r="A12" s="34"/>
      <c r="B12" s="263">
        <v>5</v>
      </c>
      <c r="C12" s="215">
        <v>1117</v>
      </c>
      <c r="D12" s="216">
        <v>485</v>
      </c>
      <c r="E12" s="208">
        <v>337</v>
      </c>
      <c r="F12" s="216">
        <v>0</v>
      </c>
      <c r="G12" s="252">
        <f>SUM(C12:F12)*(1+'System Variables'!$B$3)</f>
        <v>2113.5100000000002</v>
      </c>
      <c r="H12" s="207">
        <v>1586</v>
      </c>
      <c r="I12" s="208">
        <v>532</v>
      </c>
      <c r="J12" s="208">
        <v>337</v>
      </c>
      <c r="K12" s="208">
        <v>380</v>
      </c>
      <c r="L12" s="255">
        <f>SUM(H12:K12)*(1+'System Variables'!$B$3)</f>
        <v>3090.15</v>
      </c>
      <c r="M12" s="207">
        <v>1400</v>
      </c>
      <c r="N12" s="208">
        <v>675</v>
      </c>
      <c r="O12" s="208">
        <v>425</v>
      </c>
      <c r="P12" s="206">
        <v>460</v>
      </c>
      <c r="Q12" s="252">
        <f>SUM(M12:P12)*(1+'System Variables'!$B$3)</f>
        <v>3226.4</v>
      </c>
      <c r="R12" s="207">
        <v>1400</v>
      </c>
      <c r="S12" s="208">
        <v>859</v>
      </c>
      <c r="T12" s="208">
        <v>389</v>
      </c>
      <c r="U12" s="208">
        <v>540</v>
      </c>
      <c r="V12" s="255">
        <f>SUM(R12:U12)*(1+'System Variables'!$B$3)</f>
        <v>3474.92</v>
      </c>
      <c r="W12" s="207">
        <v>1400</v>
      </c>
      <c r="X12" s="208">
        <v>859</v>
      </c>
      <c r="Y12" s="208">
        <v>369</v>
      </c>
      <c r="Z12" s="208">
        <v>900</v>
      </c>
      <c r="AA12" s="255">
        <f>SUM(W12:Z12)*(1+'System Variables'!$B$3)</f>
        <v>3845.5200000000004</v>
      </c>
      <c r="AB12" s="36"/>
    </row>
    <row r="13" spans="1:28" ht="15" thickBot="1" x14ac:dyDescent="0.35">
      <c r="A13" s="258"/>
      <c r="B13" s="275" t="s">
        <v>148</v>
      </c>
      <c r="C13" s="274" t="s">
        <v>144</v>
      </c>
      <c r="D13" s="265" t="s">
        <v>145</v>
      </c>
      <c r="E13" s="265" t="s">
        <v>146</v>
      </c>
      <c r="F13" s="265" t="s">
        <v>147</v>
      </c>
      <c r="G13" s="265" t="str">
        <f>C$3</f>
        <v>The Value Line</v>
      </c>
      <c r="H13" s="265" t="s">
        <v>144</v>
      </c>
      <c r="I13" s="265" t="s">
        <v>145</v>
      </c>
      <c r="J13" s="265" t="s">
        <v>146</v>
      </c>
      <c r="K13" s="265" t="s">
        <v>147</v>
      </c>
      <c r="L13" s="265" t="str">
        <f>H$3</f>
        <v>The Prestige</v>
      </c>
      <c r="M13" s="265" t="s">
        <v>144</v>
      </c>
      <c r="N13" s="265" t="s">
        <v>145</v>
      </c>
      <c r="O13" s="265" t="s">
        <v>146</v>
      </c>
      <c r="P13" s="265" t="s">
        <v>147</v>
      </c>
      <c r="Q13" s="265" t="str">
        <f>M$3</f>
        <v>The Supreme</v>
      </c>
      <c r="R13" s="265" t="s">
        <v>144</v>
      </c>
      <c r="S13" s="265" t="s">
        <v>145</v>
      </c>
      <c r="T13" s="265" t="s">
        <v>146</v>
      </c>
      <c r="U13" s="265" t="s">
        <v>147</v>
      </c>
      <c r="V13" s="265" t="str">
        <f>R$3</f>
        <v>The Optimum</v>
      </c>
      <c r="W13" s="265" t="s">
        <v>144</v>
      </c>
      <c r="X13" s="265" t="s">
        <v>145</v>
      </c>
      <c r="Y13" s="265" t="s">
        <v>146</v>
      </c>
      <c r="Z13" s="265" t="s">
        <v>147</v>
      </c>
      <c r="AA13" s="266" t="str">
        <f>W$3</f>
        <v>The Ultimate</v>
      </c>
      <c r="AB13" s="36"/>
    </row>
    <row r="14" spans="1:28" x14ac:dyDescent="0.3">
      <c r="A14" s="34"/>
      <c r="B14" s="262">
        <v>2</v>
      </c>
      <c r="C14" s="218">
        <v>790</v>
      </c>
      <c r="D14" s="217">
        <v>409</v>
      </c>
      <c r="E14" s="217">
        <v>31</v>
      </c>
      <c r="F14" s="217">
        <v>0</v>
      </c>
      <c r="G14" s="264">
        <f>SUM(C14:F14)*(1+'System Variables'!$B$3)</f>
        <v>1340.7</v>
      </c>
      <c r="H14" s="203">
        <v>1102</v>
      </c>
      <c r="I14" s="204">
        <v>600</v>
      </c>
      <c r="J14" s="204">
        <v>0</v>
      </c>
      <c r="K14" s="204">
        <v>530</v>
      </c>
      <c r="L14" s="268">
        <f>SUM(H14:K14)*(1+'System Variables'!$B$3)</f>
        <v>2432.88</v>
      </c>
      <c r="M14" s="203">
        <v>1400</v>
      </c>
      <c r="N14" s="204">
        <v>476</v>
      </c>
      <c r="O14" s="204">
        <v>250</v>
      </c>
      <c r="P14" s="204">
        <v>610</v>
      </c>
      <c r="Q14" s="264">
        <f>SUM(M14:P14)*(1+'System Variables'!$B$3)</f>
        <v>2982.2400000000002</v>
      </c>
      <c r="R14" s="203">
        <v>1400</v>
      </c>
      <c r="S14" s="204">
        <v>868</v>
      </c>
      <c r="T14" s="204">
        <v>0</v>
      </c>
      <c r="U14" s="204">
        <v>700</v>
      </c>
      <c r="V14" s="253">
        <f>SUM(R14:U14)*(1+'System Variables'!$B$3)</f>
        <v>3235.1200000000003</v>
      </c>
      <c r="W14" s="203">
        <v>1400</v>
      </c>
      <c r="X14" s="204">
        <v>0</v>
      </c>
      <c r="Y14" s="204">
        <v>0</v>
      </c>
      <c r="Z14" s="204">
        <v>0</v>
      </c>
      <c r="AA14" s="253">
        <f>SUM(W14:Z14)*(1+'System Variables'!$B$3)</f>
        <v>1526</v>
      </c>
      <c r="AB14" s="36"/>
    </row>
    <row r="15" spans="1:28" x14ac:dyDescent="0.3">
      <c r="A15" s="34"/>
      <c r="B15" s="263">
        <v>2.5</v>
      </c>
      <c r="C15" s="213">
        <v>886</v>
      </c>
      <c r="D15" s="214">
        <v>478</v>
      </c>
      <c r="E15" s="214">
        <v>31</v>
      </c>
      <c r="F15" s="214">
        <v>0</v>
      </c>
      <c r="G15" s="251">
        <f>SUM(C15:F15)*(1+'System Variables'!$B$3)</f>
        <v>1520.5500000000002</v>
      </c>
      <c r="H15" s="205">
        <v>1223</v>
      </c>
      <c r="I15" s="206">
        <v>600</v>
      </c>
      <c r="J15" s="206">
        <v>0</v>
      </c>
      <c r="K15" s="204">
        <v>530</v>
      </c>
      <c r="L15" s="256">
        <f>SUM(H15:K15)*(1+'System Variables'!$B$3)</f>
        <v>2564.77</v>
      </c>
      <c r="M15" s="205">
        <v>1400</v>
      </c>
      <c r="N15" s="206">
        <v>476</v>
      </c>
      <c r="O15" s="206">
        <v>250</v>
      </c>
      <c r="P15" s="206">
        <v>610</v>
      </c>
      <c r="Q15" s="251">
        <f>SUM(M15:P15)*(1+'System Variables'!$B$3)</f>
        <v>2982.2400000000002</v>
      </c>
      <c r="R15" s="205">
        <v>1400</v>
      </c>
      <c r="S15" s="206">
        <v>868</v>
      </c>
      <c r="T15" s="206">
        <v>0</v>
      </c>
      <c r="U15" s="206">
        <v>700</v>
      </c>
      <c r="V15" s="254">
        <f>SUM(R15:U15)*(1+'System Variables'!$B$3)</f>
        <v>3235.1200000000003</v>
      </c>
      <c r="W15" s="205">
        <v>1400</v>
      </c>
      <c r="X15" s="206">
        <v>900</v>
      </c>
      <c r="Y15" s="206">
        <v>0</v>
      </c>
      <c r="Z15" s="206">
        <v>850</v>
      </c>
      <c r="AA15" s="254">
        <f>SUM(W15:Z15)*(1+'System Variables'!$B$3)</f>
        <v>3433.5000000000005</v>
      </c>
      <c r="AB15" s="36"/>
    </row>
    <row r="16" spans="1:28" x14ac:dyDescent="0.3">
      <c r="A16" s="34"/>
      <c r="B16" s="263">
        <v>3</v>
      </c>
      <c r="C16" s="213">
        <v>976</v>
      </c>
      <c r="D16" s="214">
        <v>556</v>
      </c>
      <c r="E16" s="214">
        <v>31</v>
      </c>
      <c r="F16" s="214">
        <v>0</v>
      </c>
      <c r="G16" s="251">
        <f>SUM(C16:F16)*(1+'System Variables'!$B$3)</f>
        <v>1703.67</v>
      </c>
      <c r="H16" s="205">
        <v>1354</v>
      </c>
      <c r="I16" s="206">
        <v>683</v>
      </c>
      <c r="J16" s="206">
        <v>0</v>
      </c>
      <c r="K16" s="204">
        <v>530</v>
      </c>
      <c r="L16" s="254">
        <f>SUM(H16:K16)*(1+'System Variables'!$B$3)</f>
        <v>2798.03</v>
      </c>
      <c r="M16" s="205">
        <v>1400</v>
      </c>
      <c r="N16" s="206">
        <v>476</v>
      </c>
      <c r="O16" s="206">
        <v>363</v>
      </c>
      <c r="P16" s="206">
        <v>610</v>
      </c>
      <c r="Q16" s="251">
        <f>SUM(M16:P16)*(1+'System Variables'!$B$3)</f>
        <v>3105.4100000000003</v>
      </c>
      <c r="R16" s="205">
        <v>1400</v>
      </c>
      <c r="S16" s="206">
        <v>868</v>
      </c>
      <c r="T16" s="206">
        <v>0</v>
      </c>
      <c r="U16" s="206">
        <v>700</v>
      </c>
      <c r="V16" s="254">
        <f>SUM(R16:U16)*(1+'System Variables'!$B$3)</f>
        <v>3235.1200000000003</v>
      </c>
      <c r="W16" s="205">
        <v>1400</v>
      </c>
      <c r="X16" s="206">
        <v>900</v>
      </c>
      <c r="Y16" s="206">
        <v>0</v>
      </c>
      <c r="Z16" s="206">
        <v>850</v>
      </c>
      <c r="AA16" s="254">
        <f>SUM(W16:Z16)*(1+'System Variables'!$B$3)</f>
        <v>3433.5000000000005</v>
      </c>
      <c r="AB16" s="36"/>
    </row>
    <row r="17" spans="1:28" x14ac:dyDescent="0.3">
      <c r="A17" s="34"/>
      <c r="B17" s="263">
        <v>3.5</v>
      </c>
      <c r="C17" s="213">
        <v>1058</v>
      </c>
      <c r="D17" s="214">
        <v>571</v>
      </c>
      <c r="E17" s="214">
        <v>31</v>
      </c>
      <c r="F17" s="214">
        <v>0</v>
      </c>
      <c r="G17" s="251">
        <f>SUM(C17:F17)*(1+'System Variables'!$B$3)</f>
        <v>1809.4</v>
      </c>
      <c r="H17" s="205">
        <v>1495</v>
      </c>
      <c r="I17" s="206">
        <v>698</v>
      </c>
      <c r="J17" s="206">
        <v>0</v>
      </c>
      <c r="K17" s="204">
        <v>530</v>
      </c>
      <c r="L17" s="254">
        <f>SUM(H17:K17)*(1+'System Variables'!$B$3)</f>
        <v>2968.07</v>
      </c>
      <c r="M17" s="205">
        <v>1400</v>
      </c>
      <c r="N17" s="206">
        <v>528</v>
      </c>
      <c r="O17" s="206">
        <v>363</v>
      </c>
      <c r="P17" s="206">
        <v>610</v>
      </c>
      <c r="Q17" s="251">
        <f>SUM(M17:P17)*(1+'System Variables'!$B$3)</f>
        <v>3162.09</v>
      </c>
      <c r="R17" s="205">
        <v>1400</v>
      </c>
      <c r="S17" s="206">
        <v>899</v>
      </c>
      <c r="T17" s="206">
        <v>0</v>
      </c>
      <c r="U17" s="206">
        <v>700</v>
      </c>
      <c r="V17" s="254">
        <f>SUM(R17:U17)*(1+'System Variables'!$B$3)</f>
        <v>3268.9100000000003</v>
      </c>
      <c r="W17" s="205">
        <v>1400</v>
      </c>
      <c r="X17" s="206">
        <v>900</v>
      </c>
      <c r="Y17" s="206">
        <v>0</v>
      </c>
      <c r="Z17" s="206">
        <v>850</v>
      </c>
      <c r="AA17" s="254">
        <f>SUM(W17:Z17)*(1+'System Variables'!$B$3)</f>
        <v>3433.5000000000005</v>
      </c>
      <c r="AB17" s="36"/>
    </row>
    <row r="18" spans="1:28" x14ac:dyDescent="0.3">
      <c r="A18" s="34" t="s">
        <v>149</v>
      </c>
      <c r="B18" s="263">
        <v>4</v>
      </c>
      <c r="C18" s="213">
        <v>1160</v>
      </c>
      <c r="D18" s="214">
        <v>718</v>
      </c>
      <c r="E18" s="214">
        <v>31</v>
      </c>
      <c r="F18" s="214">
        <v>0</v>
      </c>
      <c r="G18" s="251">
        <f>SUM(C18:F18)*(1+'System Variables'!$B$3)</f>
        <v>2080.81</v>
      </c>
      <c r="H18" s="205">
        <v>1615</v>
      </c>
      <c r="I18" s="206">
        <v>857</v>
      </c>
      <c r="J18" s="206">
        <v>0</v>
      </c>
      <c r="K18" s="204">
        <v>530</v>
      </c>
      <c r="L18" s="254">
        <f>SUM(H18:K18)*(1+'System Variables'!$B$3)</f>
        <v>3272.1800000000003</v>
      </c>
      <c r="M18" s="205">
        <v>1400</v>
      </c>
      <c r="N18" s="206">
        <v>528</v>
      </c>
      <c r="O18" s="206">
        <v>363</v>
      </c>
      <c r="P18" s="206">
        <v>610</v>
      </c>
      <c r="Q18" s="251">
        <f>SUM(M18:P18)*(1+'System Variables'!$B$3)</f>
        <v>3162.09</v>
      </c>
      <c r="R18" s="205">
        <v>1400</v>
      </c>
      <c r="S18" s="206">
        <v>899</v>
      </c>
      <c r="T18" s="206">
        <v>0</v>
      </c>
      <c r="U18" s="206">
        <v>700</v>
      </c>
      <c r="V18" s="254">
        <f>SUM(R18:U18)*(1+'System Variables'!$B$3)</f>
        <v>3268.9100000000003</v>
      </c>
      <c r="W18" s="205">
        <v>1400</v>
      </c>
      <c r="X18" s="206">
        <v>900</v>
      </c>
      <c r="Y18" s="206">
        <v>0</v>
      </c>
      <c r="Z18" s="206">
        <v>850</v>
      </c>
      <c r="AA18" s="254">
        <f>SUM(W18:Z18)*(1+'System Variables'!$B$3)</f>
        <v>3433.5000000000005</v>
      </c>
      <c r="AB18" s="36"/>
    </row>
    <row r="19" spans="1:28" ht="15" thickBot="1" x14ac:dyDescent="0.35">
      <c r="A19" s="34"/>
      <c r="B19" s="263">
        <v>5</v>
      </c>
      <c r="C19" s="215">
        <v>1383</v>
      </c>
      <c r="D19" s="216">
        <v>759</v>
      </c>
      <c r="E19" s="216">
        <v>31</v>
      </c>
      <c r="F19" s="216">
        <v>0</v>
      </c>
      <c r="G19" s="252">
        <f>SUM(C19:F19)*(1+'System Variables'!$B$3)</f>
        <v>2368.5700000000002</v>
      </c>
      <c r="H19" s="207">
        <v>1925</v>
      </c>
      <c r="I19" s="208">
        <v>867</v>
      </c>
      <c r="J19" s="208">
        <v>0</v>
      </c>
      <c r="K19" s="204">
        <v>530</v>
      </c>
      <c r="L19" s="255">
        <f>SUM(H19:K19)*(1+'System Variables'!$B$3)</f>
        <v>3620.9800000000005</v>
      </c>
      <c r="M19" s="207">
        <v>1400</v>
      </c>
      <c r="N19" s="208">
        <v>528</v>
      </c>
      <c r="O19" s="208">
        <v>363</v>
      </c>
      <c r="P19" s="208">
        <v>610</v>
      </c>
      <c r="Q19" s="252">
        <f>SUM(M19:P19)*(1+'System Variables'!$B$3)</f>
        <v>3162.09</v>
      </c>
      <c r="R19" s="207">
        <v>1400</v>
      </c>
      <c r="S19" s="208">
        <v>921</v>
      </c>
      <c r="T19" s="208">
        <v>0</v>
      </c>
      <c r="U19" s="208">
        <v>700</v>
      </c>
      <c r="V19" s="255">
        <f>SUM(R19:U19)*(1+'System Variables'!$B$3)</f>
        <v>3292.8900000000003</v>
      </c>
      <c r="W19" s="207">
        <v>1400</v>
      </c>
      <c r="X19" s="208">
        <v>921</v>
      </c>
      <c r="Y19" s="208">
        <v>0</v>
      </c>
      <c r="Z19" s="208">
        <v>850</v>
      </c>
      <c r="AA19" s="255">
        <f>SUM(W19:Z19)*(1+'System Variables'!$B$3)</f>
        <v>3456.3900000000003</v>
      </c>
      <c r="AB19" s="36"/>
    </row>
    <row r="20" spans="1:28" ht="15" thickBot="1" x14ac:dyDescent="0.35">
      <c r="A20" s="259"/>
      <c r="B20" s="275" t="s">
        <v>150</v>
      </c>
      <c r="C20" s="274" t="s">
        <v>144</v>
      </c>
      <c r="D20" s="265" t="s">
        <v>145</v>
      </c>
      <c r="E20" s="265" t="s">
        <v>146</v>
      </c>
      <c r="F20" s="265" t="s">
        <v>147</v>
      </c>
      <c r="G20" s="265" t="str">
        <f>C$3</f>
        <v>The Value Line</v>
      </c>
      <c r="H20" s="265" t="s">
        <v>144</v>
      </c>
      <c r="I20" s="265" t="s">
        <v>145</v>
      </c>
      <c r="J20" s="265" t="s">
        <v>146</v>
      </c>
      <c r="K20" s="265" t="s">
        <v>147</v>
      </c>
      <c r="L20" s="265" t="str">
        <f>H$3</f>
        <v>The Prestige</v>
      </c>
      <c r="M20" s="265" t="s">
        <v>144</v>
      </c>
      <c r="N20" s="265" t="s">
        <v>145</v>
      </c>
      <c r="O20" s="265" t="s">
        <v>146</v>
      </c>
      <c r="P20" s="265" t="s">
        <v>147</v>
      </c>
      <c r="Q20" s="265" t="str">
        <f>M$3</f>
        <v>The Supreme</v>
      </c>
      <c r="R20" s="265" t="s">
        <v>144</v>
      </c>
      <c r="S20" s="265" t="s">
        <v>145</v>
      </c>
      <c r="T20" s="265" t="s">
        <v>146</v>
      </c>
      <c r="U20" s="265" t="s">
        <v>147</v>
      </c>
      <c r="V20" s="265" t="str">
        <f>R$3</f>
        <v>The Optimum</v>
      </c>
      <c r="W20" s="265" t="s">
        <v>144</v>
      </c>
      <c r="X20" s="265" t="s">
        <v>145</v>
      </c>
      <c r="Y20" s="265" t="s">
        <v>146</v>
      </c>
      <c r="Z20" s="265" t="s">
        <v>147</v>
      </c>
      <c r="AA20" s="266" t="str">
        <f>W$3</f>
        <v>The Ultimate</v>
      </c>
      <c r="AB20" s="36"/>
    </row>
    <row r="21" spans="1:28" x14ac:dyDescent="0.3">
      <c r="A21" s="34"/>
      <c r="B21" s="262">
        <v>2</v>
      </c>
      <c r="C21" s="218">
        <v>1382</v>
      </c>
      <c r="D21" s="217">
        <v>0</v>
      </c>
      <c r="E21" s="217">
        <v>0</v>
      </c>
      <c r="F21" s="217">
        <v>0</v>
      </c>
      <c r="G21" s="264">
        <f>SUM(C21:F21)*(1+'System Variables'!$B$3)</f>
        <v>1506.38</v>
      </c>
      <c r="H21" s="203">
        <v>1481</v>
      </c>
      <c r="I21" s="204">
        <v>0</v>
      </c>
      <c r="J21" s="204">
        <v>0</v>
      </c>
      <c r="K21" s="204">
        <v>480</v>
      </c>
      <c r="L21" s="253">
        <f>SUM(H21:K21)*(1+'System Variables'!$B$3)</f>
        <v>2137.4900000000002</v>
      </c>
      <c r="M21" s="203">
        <v>1400</v>
      </c>
      <c r="N21" s="204">
        <v>0</v>
      </c>
      <c r="O21" s="204">
        <v>0</v>
      </c>
      <c r="P21" s="204">
        <v>480</v>
      </c>
      <c r="Q21" s="264">
        <f>SUM(M21:P21)*(1+'System Variables'!$B$3)</f>
        <v>2049.2000000000003</v>
      </c>
      <c r="R21" s="203">
        <v>1400</v>
      </c>
      <c r="S21" s="204">
        <v>0</v>
      </c>
      <c r="T21" s="204">
        <v>0</v>
      </c>
      <c r="U21" s="204">
        <v>0</v>
      </c>
      <c r="V21" s="253">
        <f>SUM(R21:U21)*(1+'System Variables'!$B$3)</f>
        <v>1526</v>
      </c>
      <c r="W21" s="203">
        <v>1400</v>
      </c>
      <c r="X21" s="204">
        <v>0</v>
      </c>
      <c r="Y21" s="204">
        <v>0</v>
      </c>
      <c r="Z21" s="204">
        <v>0</v>
      </c>
      <c r="AA21" s="253">
        <f>SUM(W21:Z21)*(1+'System Variables'!$B$3)</f>
        <v>1526</v>
      </c>
      <c r="AB21" s="36"/>
    </row>
    <row r="22" spans="1:28" x14ac:dyDescent="0.3">
      <c r="A22" s="34"/>
      <c r="B22" s="263">
        <v>2.5</v>
      </c>
      <c r="C22" s="213">
        <v>1475</v>
      </c>
      <c r="D22" s="214">
        <v>0</v>
      </c>
      <c r="E22" s="214">
        <v>0</v>
      </c>
      <c r="F22" s="214">
        <v>0</v>
      </c>
      <c r="G22" s="251">
        <f>SUM(C22:F22)*(1+'System Variables'!$B$3)</f>
        <v>1607.7500000000002</v>
      </c>
      <c r="H22" s="205">
        <v>1592</v>
      </c>
      <c r="I22" s="206">
        <v>0</v>
      </c>
      <c r="J22" s="206">
        <v>0</v>
      </c>
      <c r="K22" s="206">
        <v>480</v>
      </c>
      <c r="L22" s="254">
        <f>SUM(H22:K22)*(1+'System Variables'!$B$3)</f>
        <v>2258.48</v>
      </c>
      <c r="M22" s="205">
        <v>1400</v>
      </c>
      <c r="N22" s="206">
        <v>0</v>
      </c>
      <c r="O22" s="206">
        <v>0</v>
      </c>
      <c r="P22" s="206">
        <v>480</v>
      </c>
      <c r="Q22" s="251">
        <f>SUM(M22:P22)*(1+'System Variables'!$B$3)</f>
        <v>2049.2000000000003</v>
      </c>
      <c r="R22" s="205">
        <v>1400</v>
      </c>
      <c r="S22" s="206">
        <v>0</v>
      </c>
      <c r="T22" s="206">
        <v>0</v>
      </c>
      <c r="U22" s="206">
        <v>0</v>
      </c>
      <c r="V22" s="254">
        <f>SUM(R22:U22)*(1+'System Variables'!$B$3)</f>
        <v>1526</v>
      </c>
      <c r="W22" s="205">
        <v>1400</v>
      </c>
      <c r="X22" s="206">
        <v>0</v>
      </c>
      <c r="Y22" s="206">
        <v>0</v>
      </c>
      <c r="Z22" s="206">
        <v>0</v>
      </c>
      <c r="AA22" s="254">
        <f>SUM(W22:Z22)*(1+'System Variables'!$B$3)</f>
        <v>1526</v>
      </c>
      <c r="AB22" s="36"/>
    </row>
    <row r="23" spans="1:28" x14ac:dyDescent="0.3">
      <c r="A23" s="34"/>
      <c r="B23" s="263">
        <v>3</v>
      </c>
      <c r="C23" s="213">
        <v>1514</v>
      </c>
      <c r="D23" s="214">
        <v>0</v>
      </c>
      <c r="E23" s="214">
        <v>0</v>
      </c>
      <c r="F23" s="214">
        <v>0</v>
      </c>
      <c r="G23" s="251">
        <f>SUM(C23:F23)*(1+'System Variables'!$B$3)</f>
        <v>1650.2600000000002</v>
      </c>
      <c r="H23" s="205">
        <v>1663</v>
      </c>
      <c r="I23" s="206">
        <v>0</v>
      </c>
      <c r="J23" s="206">
        <v>0</v>
      </c>
      <c r="K23" s="206">
        <v>480</v>
      </c>
      <c r="L23" s="254">
        <f>SUM(H23:K23)*(1+'System Variables'!$B$3)</f>
        <v>2335.8700000000003</v>
      </c>
      <c r="M23" s="205">
        <v>1400</v>
      </c>
      <c r="N23" s="206">
        <v>0</v>
      </c>
      <c r="O23" s="206">
        <v>0</v>
      </c>
      <c r="P23" s="206">
        <v>480</v>
      </c>
      <c r="Q23" s="251">
        <f>SUM(M23:P23)*(1+'System Variables'!$B$3)</f>
        <v>2049.2000000000003</v>
      </c>
      <c r="R23" s="205">
        <v>1400</v>
      </c>
      <c r="S23" s="206">
        <v>0</v>
      </c>
      <c r="T23" s="206">
        <v>0</v>
      </c>
      <c r="U23" s="204">
        <v>640</v>
      </c>
      <c r="V23" s="254">
        <f>SUM(R23:U23)*(1+'System Variables'!$B$3)</f>
        <v>2223.6000000000004</v>
      </c>
      <c r="W23" s="205">
        <v>1400</v>
      </c>
      <c r="X23" s="206">
        <v>0</v>
      </c>
      <c r="Y23" s="206">
        <v>0</v>
      </c>
      <c r="Z23" s="206">
        <v>0</v>
      </c>
      <c r="AA23" s="254">
        <f>SUM(W23:Z23)*(1+'System Variables'!$B$3)</f>
        <v>1526</v>
      </c>
      <c r="AB23" s="36"/>
    </row>
    <row r="24" spans="1:28" x14ac:dyDescent="0.3">
      <c r="A24" s="34"/>
      <c r="B24" s="263">
        <v>3.5</v>
      </c>
      <c r="C24" s="213">
        <v>1617</v>
      </c>
      <c r="D24" s="214">
        <v>0</v>
      </c>
      <c r="E24" s="214">
        <v>0</v>
      </c>
      <c r="F24" s="214">
        <v>0</v>
      </c>
      <c r="G24" s="251">
        <f>SUM(C24:F24)*(1+'System Variables'!$B$3)</f>
        <v>1762.5300000000002</v>
      </c>
      <c r="H24" s="205">
        <v>1745</v>
      </c>
      <c r="I24" s="206">
        <v>0</v>
      </c>
      <c r="J24" s="206">
        <v>0</v>
      </c>
      <c r="K24" s="206">
        <v>480</v>
      </c>
      <c r="L24" s="254">
        <f>SUM(H24:K24)*(1+'System Variables'!$B$3)</f>
        <v>2425.25</v>
      </c>
      <c r="M24" s="205">
        <v>1400</v>
      </c>
      <c r="N24" s="206">
        <v>0</v>
      </c>
      <c r="O24" s="206">
        <v>0</v>
      </c>
      <c r="P24" s="206">
        <v>480</v>
      </c>
      <c r="Q24" s="251">
        <f>SUM(M24:P24)*(1+'System Variables'!$B$3)</f>
        <v>2049.2000000000003</v>
      </c>
      <c r="R24" s="205">
        <v>1400</v>
      </c>
      <c r="S24" s="206">
        <v>0</v>
      </c>
      <c r="T24" s="206">
        <v>0</v>
      </c>
      <c r="U24" s="206">
        <v>0</v>
      </c>
      <c r="V24" s="254">
        <f>SUM(R24:U24)*(1+'System Variables'!$B$3)</f>
        <v>1526</v>
      </c>
      <c r="W24" s="205">
        <v>1400</v>
      </c>
      <c r="X24" s="206">
        <v>0</v>
      </c>
      <c r="Y24" s="206">
        <v>0</v>
      </c>
      <c r="Z24" s="206">
        <v>0</v>
      </c>
      <c r="AA24" s="254">
        <f>SUM(W24:Z24)*(1+'System Variables'!$B$3)</f>
        <v>1526</v>
      </c>
      <c r="AB24" s="36"/>
    </row>
    <row r="25" spans="1:28" x14ac:dyDescent="0.3">
      <c r="A25" s="34"/>
      <c r="B25" s="263">
        <v>4</v>
      </c>
      <c r="C25" s="213">
        <v>1815</v>
      </c>
      <c r="D25" s="214">
        <v>0</v>
      </c>
      <c r="E25" s="214">
        <v>0</v>
      </c>
      <c r="F25" s="214">
        <v>0</v>
      </c>
      <c r="G25" s="251">
        <f>SUM(C25:F25)*(1+'System Variables'!$B$3)</f>
        <v>1978.3500000000001</v>
      </c>
      <c r="H25" s="205">
        <v>1905</v>
      </c>
      <c r="I25" s="206">
        <v>0</v>
      </c>
      <c r="J25" s="206">
        <v>0</v>
      </c>
      <c r="K25" s="206">
        <v>480</v>
      </c>
      <c r="L25" s="254">
        <f>SUM(H25:K25)*(1+'System Variables'!$B$3)</f>
        <v>2599.65</v>
      </c>
      <c r="M25" s="205">
        <v>1400</v>
      </c>
      <c r="N25" s="206">
        <v>0</v>
      </c>
      <c r="O25" s="206">
        <v>0</v>
      </c>
      <c r="P25" s="206">
        <v>480</v>
      </c>
      <c r="Q25" s="251">
        <f>SUM(M25:P25)*(1+'System Variables'!$B$3)</f>
        <v>2049.2000000000003</v>
      </c>
      <c r="R25" s="205">
        <v>1400</v>
      </c>
      <c r="S25" s="206">
        <v>0</v>
      </c>
      <c r="T25" s="206">
        <v>0</v>
      </c>
      <c r="U25" s="206">
        <v>640</v>
      </c>
      <c r="V25" s="254">
        <f>SUM(R25:U25)*(1+'System Variables'!$B$3)</f>
        <v>2223.6000000000004</v>
      </c>
      <c r="W25" s="205">
        <v>1400</v>
      </c>
      <c r="X25" s="206">
        <v>0</v>
      </c>
      <c r="Y25" s="206">
        <v>0</v>
      </c>
      <c r="Z25" s="206">
        <v>0</v>
      </c>
      <c r="AA25" s="254">
        <f>SUM(W25:Z25)*(1+'System Variables'!$B$3)</f>
        <v>1526</v>
      </c>
      <c r="AB25" s="36"/>
    </row>
    <row r="26" spans="1:28" ht="15" thickBot="1" x14ac:dyDescent="0.35">
      <c r="A26" s="34"/>
      <c r="B26" s="263">
        <v>5</v>
      </c>
      <c r="C26" s="215">
        <v>1933</v>
      </c>
      <c r="D26" s="216">
        <v>0</v>
      </c>
      <c r="E26" s="216">
        <v>0</v>
      </c>
      <c r="F26" s="216">
        <v>0</v>
      </c>
      <c r="G26" s="252">
        <f>SUM(C26:F26)*(1+'System Variables'!$B$3)</f>
        <v>2106.9700000000003</v>
      </c>
      <c r="H26" s="207">
        <v>2170</v>
      </c>
      <c r="I26" s="208">
        <v>0</v>
      </c>
      <c r="J26" s="208">
        <v>0</v>
      </c>
      <c r="K26" s="208">
        <v>480</v>
      </c>
      <c r="L26" s="255">
        <f>SUM(H26:K26)*(1+'System Variables'!$B$3)</f>
        <v>2888.5</v>
      </c>
      <c r="M26" s="207">
        <v>1400</v>
      </c>
      <c r="N26" s="208">
        <v>0</v>
      </c>
      <c r="O26" s="208">
        <v>0</v>
      </c>
      <c r="P26" s="208">
        <v>480</v>
      </c>
      <c r="Q26" s="252">
        <f>SUM(M26:P26)*(1+'System Variables'!$B$3)</f>
        <v>2049.2000000000003</v>
      </c>
      <c r="R26" s="207">
        <v>1400</v>
      </c>
      <c r="S26" s="208">
        <v>0</v>
      </c>
      <c r="T26" s="208">
        <v>0</v>
      </c>
      <c r="U26" s="208">
        <v>640</v>
      </c>
      <c r="V26" s="255">
        <f>SUM(R26:U26)*(1+'System Variables'!$B$3)</f>
        <v>2223.6000000000004</v>
      </c>
      <c r="W26" s="207">
        <v>1400</v>
      </c>
      <c r="X26" s="208">
        <v>0</v>
      </c>
      <c r="Y26" s="208">
        <v>0</v>
      </c>
      <c r="Z26" s="208">
        <v>0</v>
      </c>
      <c r="AA26" s="255">
        <f>SUM(W26:Z26)*(1+'System Variables'!$B$3)</f>
        <v>1526</v>
      </c>
      <c r="AB26" s="36"/>
    </row>
    <row r="27" spans="1:28" ht="15" thickBot="1" x14ac:dyDescent="0.35">
      <c r="A27" s="260"/>
      <c r="B27" s="275" t="s">
        <v>151</v>
      </c>
      <c r="C27" s="274" t="s">
        <v>144</v>
      </c>
      <c r="D27" s="265" t="s">
        <v>145</v>
      </c>
      <c r="E27" s="265" t="s">
        <v>146</v>
      </c>
      <c r="F27" s="265" t="s">
        <v>147</v>
      </c>
      <c r="G27" s="265" t="str">
        <f>C$3</f>
        <v>The Value Line</v>
      </c>
      <c r="H27" s="265" t="s">
        <v>144</v>
      </c>
      <c r="I27" s="265" t="s">
        <v>145</v>
      </c>
      <c r="J27" s="265" t="s">
        <v>146</v>
      </c>
      <c r="K27" s="265" t="s">
        <v>147</v>
      </c>
      <c r="L27" s="265" t="str">
        <f>H$3</f>
        <v>The Prestige</v>
      </c>
      <c r="M27" s="265" t="s">
        <v>144</v>
      </c>
      <c r="N27" s="265" t="s">
        <v>145</v>
      </c>
      <c r="O27" s="265" t="s">
        <v>146</v>
      </c>
      <c r="P27" s="265" t="s">
        <v>147</v>
      </c>
      <c r="Q27" s="265" t="str">
        <f>M$3</f>
        <v>The Supreme</v>
      </c>
      <c r="R27" s="265" t="s">
        <v>144</v>
      </c>
      <c r="S27" s="265" t="s">
        <v>145</v>
      </c>
      <c r="T27" s="265" t="s">
        <v>146</v>
      </c>
      <c r="U27" s="265" t="s">
        <v>147</v>
      </c>
      <c r="V27" s="265" t="str">
        <f>R$3</f>
        <v>The Optimum</v>
      </c>
      <c r="W27" s="265" t="s">
        <v>144</v>
      </c>
      <c r="X27" s="265" t="s">
        <v>145</v>
      </c>
      <c r="Y27" s="265" t="s">
        <v>146</v>
      </c>
      <c r="Z27" s="265" t="s">
        <v>147</v>
      </c>
      <c r="AA27" s="266" t="str">
        <f>W$3</f>
        <v>The Ultimate</v>
      </c>
      <c r="AB27" s="36"/>
    </row>
    <row r="28" spans="1:28" x14ac:dyDescent="0.3">
      <c r="A28" s="34"/>
      <c r="B28" s="262">
        <v>2</v>
      </c>
      <c r="C28" s="218">
        <v>1298</v>
      </c>
      <c r="D28" s="217">
        <v>0</v>
      </c>
      <c r="E28" s="217">
        <v>29</v>
      </c>
      <c r="F28" s="217">
        <v>0</v>
      </c>
      <c r="G28" s="264">
        <f>SUM(C28:F28)*(1+'System Variables'!$B$3)</f>
        <v>1446.43</v>
      </c>
      <c r="H28" s="203">
        <v>1423</v>
      </c>
      <c r="I28" s="204">
        <v>0</v>
      </c>
      <c r="J28" s="204">
        <v>0</v>
      </c>
      <c r="K28" s="204">
        <v>480</v>
      </c>
      <c r="L28" s="264">
        <f>SUM(H28:K28)*(1+'System Variables'!$B$3)</f>
        <v>2074.27</v>
      </c>
      <c r="M28" s="203">
        <v>1400</v>
      </c>
      <c r="N28" s="204">
        <v>0</v>
      </c>
      <c r="O28" s="204">
        <v>50</v>
      </c>
      <c r="P28" s="204">
        <v>480</v>
      </c>
      <c r="Q28" s="264">
        <f>SUM(M28:P28)*(1+'System Variables'!$B$3)</f>
        <v>2103.7000000000003</v>
      </c>
      <c r="R28" s="203">
        <v>1400</v>
      </c>
      <c r="S28" s="204">
        <v>0</v>
      </c>
      <c r="T28" s="204">
        <v>0</v>
      </c>
      <c r="U28" s="204">
        <v>0</v>
      </c>
      <c r="V28" s="253">
        <f>SUM(R28:U28)*(1+'System Variables'!$B$3)</f>
        <v>1526</v>
      </c>
      <c r="W28" s="203">
        <v>1400</v>
      </c>
      <c r="X28" s="204">
        <v>0</v>
      </c>
      <c r="Y28" s="204">
        <v>0</v>
      </c>
      <c r="Z28" s="204">
        <v>0</v>
      </c>
      <c r="AA28" s="253">
        <f>SUM(W28:Z28)*(1+'System Variables'!$B$3)</f>
        <v>1526</v>
      </c>
      <c r="AB28" s="36"/>
    </row>
    <row r="29" spans="1:28" x14ac:dyDescent="0.3">
      <c r="A29" s="34"/>
      <c r="B29" s="263">
        <v>2.5</v>
      </c>
      <c r="C29" s="213">
        <v>1376</v>
      </c>
      <c r="D29" s="214">
        <v>0</v>
      </c>
      <c r="E29" s="214">
        <v>29</v>
      </c>
      <c r="F29" s="214">
        <v>0</v>
      </c>
      <c r="G29" s="251">
        <f>SUM(C29:F29)*(1+'System Variables'!$B$3)</f>
        <v>1531.45</v>
      </c>
      <c r="H29" s="205">
        <v>1495</v>
      </c>
      <c r="I29" s="206">
        <v>0</v>
      </c>
      <c r="J29" s="206">
        <v>0</v>
      </c>
      <c r="K29" s="206">
        <v>480</v>
      </c>
      <c r="L29" s="251">
        <f>SUM(H29:K29)*(1+'System Variables'!$B$3)</f>
        <v>2152.75</v>
      </c>
      <c r="M29" s="205">
        <v>1400</v>
      </c>
      <c r="N29" s="206">
        <v>0</v>
      </c>
      <c r="O29" s="206">
        <v>50</v>
      </c>
      <c r="P29" s="206">
        <v>480</v>
      </c>
      <c r="Q29" s="251">
        <f>SUM(M29:P29)*(1+'System Variables'!$B$3)</f>
        <v>2103.7000000000003</v>
      </c>
      <c r="R29" s="205">
        <v>1400</v>
      </c>
      <c r="S29" s="206">
        <v>0</v>
      </c>
      <c r="T29" s="206">
        <v>0</v>
      </c>
      <c r="U29" s="206">
        <v>0</v>
      </c>
      <c r="V29" s="254">
        <f>SUM(R29:U29)*(1+'System Variables'!$B$3)</f>
        <v>1526</v>
      </c>
      <c r="W29" s="205">
        <v>1400</v>
      </c>
      <c r="X29" s="206">
        <v>0</v>
      </c>
      <c r="Y29" s="206">
        <v>0</v>
      </c>
      <c r="Z29" s="206">
        <v>0</v>
      </c>
      <c r="AA29" s="254">
        <f>SUM(W29:Z29)*(1+'System Variables'!$B$3)</f>
        <v>1526</v>
      </c>
      <c r="AB29" s="36"/>
    </row>
    <row r="30" spans="1:28" x14ac:dyDescent="0.3">
      <c r="A30" s="34"/>
      <c r="B30" s="263">
        <v>3</v>
      </c>
      <c r="C30" s="213">
        <v>1480</v>
      </c>
      <c r="D30" s="214">
        <v>0</v>
      </c>
      <c r="E30" s="214">
        <v>29</v>
      </c>
      <c r="F30" s="214">
        <v>0</v>
      </c>
      <c r="G30" s="251">
        <f>SUM(C30:F30)*(1+'System Variables'!$B$3)</f>
        <v>1644.8100000000002</v>
      </c>
      <c r="H30" s="205">
        <v>1640</v>
      </c>
      <c r="I30" s="206">
        <v>0</v>
      </c>
      <c r="J30" s="206">
        <v>0</v>
      </c>
      <c r="K30" s="206">
        <v>480</v>
      </c>
      <c r="L30" s="251">
        <f>SUM(H30:K30)*(1+'System Variables'!$B$3)</f>
        <v>2310.8000000000002</v>
      </c>
      <c r="M30" s="205">
        <v>1400</v>
      </c>
      <c r="N30" s="206">
        <v>0</v>
      </c>
      <c r="O30" s="206">
        <v>50</v>
      </c>
      <c r="P30" s="206">
        <v>480</v>
      </c>
      <c r="Q30" s="251">
        <f>SUM(M30:P30)*(1+'System Variables'!$B$3)</f>
        <v>2103.7000000000003</v>
      </c>
      <c r="R30" s="205">
        <v>1400</v>
      </c>
      <c r="S30" s="206">
        <v>0</v>
      </c>
      <c r="T30" s="206">
        <v>0</v>
      </c>
      <c r="U30" s="204">
        <v>640</v>
      </c>
      <c r="V30" s="254">
        <f>SUM(R30:U30)*(1+'System Variables'!$B$3)</f>
        <v>2223.6000000000004</v>
      </c>
      <c r="W30" s="205">
        <v>1400</v>
      </c>
      <c r="X30" s="206">
        <v>0</v>
      </c>
      <c r="Y30" s="206">
        <v>0</v>
      </c>
      <c r="Z30" s="206">
        <v>0</v>
      </c>
      <c r="AA30" s="254">
        <f>SUM(W30:Z30)*(1+'System Variables'!$B$3)</f>
        <v>1526</v>
      </c>
      <c r="AB30" s="36"/>
    </row>
    <row r="31" spans="1:28" x14ac:dyDescent="0.3">
      <c r="A31" s="34"/>
      <c r="B31" s="263">
        <v>3.5</v>
      </c>
      <c r="C31" s="213">
        <v>1620</v>
      </c>
      <c r="D31" s="214">
        <v>0</v>
      </c>
      <c r="E31" s="214">
        <v>29</v>
      </c>
      <c r="F31" s="214">
        <v>0</v>
      </c>
      <c r="G31" s="251">
        <f>SUM(C31:F31)*(1+'System Variables'!$B$3)</f>
        <v>1797.41</v>
      </c>
      <c r="H31" s="205">
        <v>1762</v>
      </c>
      <c r="I31" s="206">
        <v>0</v>
      </c>
      <c r="J31" s="206">
        <v>0</v>
      </c>
      <c r="K31" s="206">
        <v>480</v>
      </c>
      <c r="L31" s="251">
        <f>SUM(H31:K31)*(1+'System Variables'!$B$3)</f>
        <v>2443.7800000000002</v>
      </c>
      <c r="M31" s="205">
        <v>1400</v>
      </c>
      <c r="N31" s="206">
        <v>0</v>
      </c>
      <c r="O31" s="206">
        <v>50</v>
      </c>
      <c r="P31" s="206">
        <v>480</v>
      </c>
      <c r="Q31" s="251">
        <f>SUM(M31:P31)*(1+'System Variables'!$B$3)</f>
        <v>2103.7000000000003</v>
      </c>
      <c r="R31" s="205">
        <v>1400</v>
      </c>
      <c r="S31" s="206">
        <v>0</v>
      </c>
      <c r="T31" s="206">
        <v>0</v>
      </c>
      <c r="U31" s="206">
        <v>0</v>
      </c>
      <c r="V31" s="254">
        <f>SUM(R31:U31)*(1+'System Variables'!$B$3)</f>
        <v>1526</v>
      </c>
      <c r="W31" s="205">
        <v>1400</v>
      </c>
      <c r="X31" s="206">
        <v>0</v>
      </c>
      <c r="Y31" s="206">
        <v>0</v>
      </c>
      <c r="Z31" s="206">
        <v>0</v>
      </c>
      <c r="AA31" s="254">
        <f>SUM(W31:Z31)*(1+'System Variables'!$B$3)</f>
        <v>1526</v>
      </c>
      <c r="AB31" s="36"/>
    </row>
    <row r="32" spans="1:28" x14ac:dyDescent="0.3">
      <c r="A32" s="34"/>
      <c r="B32" s="263">
        <v>4</v>
      </c>
      <c r="C32" s="213">
        <v>1775</v>
      </c>
      <c r="D32" s="214">
        <v>0</v>
      </c>
      <c r="E32" s="214">
        <v>29</v>
      </c>
      <c r="F32" s="214">
        <v>0</v>
      </c>
      <c r="G32" s="251">
        <f>SUM(C32:F32)*(1+'System Variables'!$B$3)</f>
        <v>1966.3600000000001</v>
      </c>
      <c r="H32" s="205">
        <v>2030</v>
      </c>
      <c r="I32" s="206">
        <v>0</v>
      </c>
      <c r="J32" s="206">
        <v>0</v>
      </c>
      <c r="K32" s="206">
        <v>480</v>
      </c>
      <c r="L32" s="251">
        <f>SUM(H32:K32)*(1+'System Variables'!$B$3)</f>
        <v>2735.9</v>
      </c>
      <c r="M32" s="205">
        <v>1400</v>
      </c>
      <c r="N32" s="206">
        <v>0</v>
      </c>
      <c r="O32" s="206">
        <v>50</v>
      </c>
      <c r="P32" s="206">
        <v>480</v>
      </c>
      <c r="Q32" s="251">
        <f>SUM(M32:P32)*(1+'System Variables'!$B$3)</f>
        <v>2103.7000000000003</v>
      </c>
      <c r="R32" s="205">
        <v>1400</v>
      </c>
      <c r="S32" s="206">
        <v>0</v>
      </c>
      <c r="T32" s="206">
        <v>0</v>
      </c>
      <c r="U32" s="206">
        <v>640</v>
      </c>
      <c r="V32" s="254">
        <f>SUM(R32:U32)*(1+'System Variables'!$B$3)</f>
        <v>2223.6000000000004</v>
      </c>
      <c r="W32" s="205">
        <v>1400</v>
      </c>
      <c r="X32" s="206">
        <v>0</v>
      </c>
      <c r="Y32" s="206">
        <v>0</v>
      </c>
      <c r="Z32" s="206">
        <v>0</v>
      </c>
      <c r="AA32" s="254">
        <f>SUM(W32:Z32)*(1+'System Variables'!$B$3)</f>
        <v>1526</v>
      </c>
      <c r="AB32" s="36"/>
    </row>
    <row r="33" spans="1:28" ht="15" thickBot="1" x14ac:dyDescent="0.35">
      <c r="A33" s="34"/>
      <c r="B33" s="263">
        <v>5</v>
      </c>
      <c r="C33" s="215">
        <v>1925</v>
      </c>
      <c r="D33" s="216">
        <v>0</v>
      </c>
      <c r="E33" s="216">
        <v>29</v>
      </c>
      <c r="F33" s="216">
        <v>0</v>
      </c>
      <c r="G33" s="252">
        <f>SUM(C33:F33)*(1+'System Variables'!$B$3)</f>
        <v>2129.86</v>
      </c>
      <c r="H33" s="207">
        <v>2130</v>
      </c>
      <c r="I33" s="208">
        <v>0</v>
      </c>
      <c r="J33" s="208">
        <v>0</v>
      </c>
      <c r="K33" s="208">
        <v>480</v>
      </c>
      <c r="L33" s="252">
        <f>SUM(H33:K33)*(1+'System Variables'!$B$3)</f>
        <v>2844.9</v>
      </c>
      <c r="M33" s="207">
        <v>1400</v>
      </c>
      <c r="N33" s="208">
        <v>0</v>
      </c>
      <c r="O33" s="208">
        <v>50</v>
      </c>
      <c r="P33" s="208">
        <v>480</v>
      </c>
      <c r="Q33" s="252">
        <f>SUM(M33:P33)*(1+'System Variables'!$B$3)</f>
        <v>2103.7000000000003</v>
      </c>
      <c r="R33" s="207">
        <v>1400</v>
      </c>
      <c r="S33" s="208">
        <v>0</v>
      </c>
      <c r="T33" s="208">
        <v>0</v>
      </c>
      <c r="U33" s="208">
        <v>640</v>
      </c>
      <c r="V33" s="255">
        <f>SUM(R33:U33)*(1+'System Variables'!$B$3)</f>
        <v>2223.6000000000004</v>
      </c>
      <c r="W33" s="207">
        <v>1400</v>
      </c>
      <c r="X33" s="208">
        <v>0</v>
      </c>
      <c r="Y33" s="208">
        <v>0</v>
      </c>
      <c r="Z33" s="208">
        <v>0</v>
      </c>
      <c r="AA33" s="255">
        <f>SUM(W33:Z33)*(1+'System Variables'!$B$3)</f>
        <v>1526</v>
      </c>
      <c r="AB33" s="36"/>
    </row>
    <row r="34" spans="1:28" ht="15" thickBot="1" x14ac:dyDescent="0.35">
      <c r="A34" s="261"/>
      <c r="B34" s="275" t="s">
        <v>152</v>
      </c>
      <c r="C34" s="274" t="s">
        <v>144</v>
      </c>
      <c r="D34" s="265" t="s">
        <v>145</v>
      </c>
      <c r="E34" s="265" t="s">
        <v>146</v>
      </c>
      <c r="F34" s="265" t="s">
        <v>147</v>
      </c>
      <c r="G34" s="265" t="str">
        <f>C$3</f>
        <v>The Value Line</v>
      </c>
      <c r="H34" s="265" t="s">
        <v>144</v>
      </c>
      <c r="I34" s="265" t="s">
        <v>145</v>
      </c>
      <c r="J34" s="265" t="s">
        <v>146</v>
      </c>
      <c r="K34" s="265" t="s">
        <v>147</v>
      </c>
      <c r="L34" s="265" t="str">
        <f>H$3</f>
        <v>The Prestige</v>
      </c>
      <c r="M34" s="265" t="s">
        <v>144</v>
      </c>
      <c r="N34" s="265" t="s">
        <v>145</v>
      </c>
      <c r="O34" s="265" t="s">
        <v>146</v>
      </c>
      <c r="P34" s="265" t="s">
        <v>147</v>
      </c>
      <c r="Q34" s="265" t="str">
        <f>M$3</f>
        <v>The Supreme</v>
      </c>
      <c r="R34" s="265" t="s">
        <v>144</v>
      </c>
      <c r="S34" s="265" t="s">
        <v>145</v>
      </c>
      <c r="T34" s="265" t="s">
        <v>146</v>
      </c>
      <c r="U34" s="265" t="s">
        <v>147</v>
      </c>
      <c r="V34" s="265" t="str">
        <f>R$3</f>
        <v>The Optimum</v>
      </c>
      <c r="W34" s="265" t="s">
        <v>144</v>
      </c>
      <c r="X34" s="265" t="s">
        <v>145</v>
      </c>
      <c r="Y34" s="265" t="s">
        <v>146</v>
      </c>
      <c r="Z34" s="265" t="s">
        <v>147</v>
      </c>
      <c r="AA34" s="266" t="str">
        <f>W$3</f>
        <v>The Ultimate</v>
      </c>
      <c r="AB34" s="36"/>
    </row>
    <row r="35" spans="1:28" x14ac:dyDescent="0.3">
      <c r="A35" s="34"/>
      <c r="B35" s="262">
        <v>2</v>
      </c>
      <c r="C35" s="218">
        <v>604</v>
      </c>
      <c r="D35" s="217">
        <v>0</v>
      </c>
      <c r="E35" s="217">
        <v>0</v>
      </c>
      <c r="F35" s="217">
        <v>0</v>
      </c>
      <c r="G35" s="264">
        <f>SUM(C35:F35)*(1+'System Variables'!$B$3)</f>
        <v>658.36</v>
      </c>
      <c r="H35" s="203">
        <v>748</v>
      </c>
      <c r="I35" s="204">
        <v>0</v>
      </c>
      <c r="J35" s="204">
        <v>180</v>
      </c>
      <c r="K35" s="204">
        <v>180</v>
      </c>
      <c r="L35" s="264">
        <f>SUM(H35:K35)*(1+'System Variables'!$B$3)</f>
        <v>1207.72</v>
      </c>
      <c r="M35" s="203">
        <v>1400</v>
      </c>
      <c r="N35" s="204">
        <v>0</v>
      </c>
      <c r="O35" s="204">
        <v>240</v>
      </c>
      <c r="P35" s="276">
        <v>260</v>
      </c>
      <c r="Q35" s="264">
        <f>SUM(M35:P35)*(1+'System Variables'!$B$3)</f>
        <v>2071</v>
      </c>
      <c r="R35" s="203">
        <v>1400</v>
      </c>
      <c r="S35" s="204">
        <v>0</v>
      </c>
      <c r="T35" s="204">
        <v>292</v>
      </c>
      <c r="U35" s="276">
        <v>350</v>
      </c>
      <c r="V35" s="253">
        <f>SUM(R35:U35)*(1+'System Variables'!$B$3)</f>
        <v>2225.7800000000002</v>
      </c>
      <c r="W35" s="203">
        <v>1400</v>
      </c>
      <c r="X35" s="204">
        <v>0</v>
      </c>
      <c r="Y35" s="204">
        <v>0</v>
      </c>
      <c r="Z35" s="276">
        <v>0</v>
      </c>
      <c r="AA35" s="253">
        <f>SUM(W35:Z35)*(1+'System Variables'!$B$3)</f>
        <v>1526</v>
      </c>
      <c r="AB35" s="36"/>
    </row>
    <row r="36" spans="1:28" x14ac:dyDescent="0.3">
      <c r="A36" s="34"/>
      <c r="B36" s="263">
        <v>2.5</v>
      </c>
      <c r="C36" s="213">
        <v>633</v>
      </c>
      <c r="D36" s="214">
        <v>0</v>
      </c>
      <c r="E36" s="214">
        <v>0</v>
      </c>
      <c r="F36" s="214">
        <v>0</v>
      </c>
      <c r="G36" s="251">
        <f>SUM(C36:F36)*(1+'System Variables'!$B$3)</f>
        <v>689.97</v>
      </c>
      <c r="H36" s="205">
        <v>790</v>
      </c>
      <c r="I36" s="206">
        <v>0</v>
      </c>
      <c r="J36" s="206">
        <v>211</v>
      </c>
      <c r="K36" s="206">
        <v>180</v>
      </c>
      <c r="L36" s="251">
        <f>SUM(H36:K36)*(1+'System Variables'!$B$3)</f>
        <v>1287.2900000000002</v>
      </c>
      <c r="M36" s="205">
        <v>1400</v>
      </c>
      <c r="N36" s="206">
        <v>0</v>
      </c>
      <c r="O36" s="206">
        <v>254</v>
      </c>
      <c r="P36" s="209">
        <v>260</v>
      </c>
      <c r="Q36" s="251">
        <f>SUM(M36:P36)*(1+'System Variables'!$B$3)</f>
        <v>2086.2600000000002</v>
      </c>
      <c r="R36" s="205">
        <v>1400</v>
      </c>
      <c r="S36" s="206">
        <v>0</v>
      </c>
      <c r="T36" s="206">
        <v>367</v>
      </c>
      <c r="U36" s="209">
        <v>350</v>
      </c>
      <c r="V36" s="254">
        <f>SUM(R36:U36)*(1+'System Variables'!$B$3)</f>
        <v>2307.5300000000002</v>
      </c>
      <c r="W36" s="205">
        <v>1400</v>
      </c>
      <c r="X36" s="206">
        <v>0</v>
      </c>
      <c r="Y36" s="206">
        <v>0</v>
      </c>
      <c r="Z36" s="209">
        <v>0</v>
      </c>
      <c r="AA36" s="254">
        <f>SUM(W36:Z36)*(1+'System Variables'!$B$3)</f>
        <v>1526</v>
      </c>
      <c r="AB36" s="36"/>
    </row>
    <row r="37" spans="1:28" x14ac:dyDescent="0.3">
      <c r="A37" s="34"/>
      <c r="B37" s="263">
        <v>3</v>
      </c>
      <c r="C37" s="213">
        <v>711</v>
      </c>
      <c r="D37" s="214">
        <v>0</v>
      </c>
      <c r="E37" s="214">
        <v>0</v>
      </c>
      <c r="F37" s="214">
        <v>0</v>
      </c>
      <c r="G37" s="251">
        <f>SUM(C37:F37)*(1+'System Variables'!$B$3)</f>
        <v>774.99</v>
      </c>
      <c r="H37" s="205">
        <v>863</v>
      </c>
      <c r="I37" s="206">
        <v>0</v>
      </c>
      <c r="J37" s="206">
        <v>240</v>
      </c>
      <c r="K37" s="206">
        <v>180</v>
      </c>
      <c r="L37" s="251">
        <f>SUM(H37:K37)*(1+'System Variables'!$B$3)</f>
        <v>1398.47</v>
      </c>
      <c r="M37" s="205">
        <v>1400</v>
      </c>
      <c r="N37" s="206">
        <v>0</v>
      </c>
      <c r="O37" s="206">
        <v>318</v>
      </c>
      <c r="P37" s="209">
        <v>260</v>
      </c>
      <c r="Q37" s="251">
        <f>SUM(M37:P37)*(1+'System Variables'!$B$3)</f>
        <v>2156.02</v>
      </c>
      <c r="R37" s="205">
        <v>1400</v>
      </c>
      <c r="S37" s="206">
        <v>0</v>
      </c>
      <c r="T37" s="206">
        <v>367</v>
      </c>
      <c r="U37" s="209">
        <v>350</v>
      </c>
      <c r="V37" s="254">
        <f>SUM(R37:U37)*(1+'System Variables'!$B$3)</f>
        <v>2307.5300000000002</v>
      </c>
      <c r="W37" s="205">
        <v>1400</v>
      </c>
      <c r="X37" s="206">
        <v>0</v>
      </c>
      <c r="Y37" s="206">
        <v>400</v>
      </c>
      <c r="Z37" s="209">
        <v>600</v>
      </c>
      <c r="AA37" s="254">
        <f>SUM(W37:Z37)*(1+'System Variables'!$B$3)</f>
        <v>2616</v>
      </c>
      <c r="AB37" s="36"/>
    </row>
    <row r="38" spans="1:28" x14ac:dyDescent="0.3">
      <c r="A38" s="34"/>
      <c r="B38" s="263">
        <v>3.5</v>
      </c>
      <c r="C38" s="213">
        <v>808</v>
      </c>
      <c r="D38" s="214">
        <v>0</v>
      </c>
      <c r="E38" s="214">
        <v>0</v>
      </c>
      <c r="F38" s="214">
        <v>0</v>
      </c>
      <c r="G38" s="251">
        <f>SUM(C38:F38)*(1+'System Variables'!$B$3)</f>
        <v>880.72</v>
      </c>
      <c r="H38" s="205">
        <v>970</v>
      </c>
      <c r="I38" s="206">
        <v>0</v>
      </c>
      <c r="J38" s="206">
        <v>287</v>
      </c>
      <c r="K38" s="206">
        <v>180</v>
      </c>
      <c r="L38" s="251">
        <f>SUM(H38:K38)*(1+'System Variables'!$B$3)</f>
        <v>1566.3300000000002</v>
      </c>
      <c r="M38" s="205">
        <v>1400</v>
      </c>
      <c r="N38" s="206">
        <v>0</v>
      </c>
      <c r="O38" s="206">
        <v>337</v>
      </c>
      <c r="P38" s="209">
        <v>260</v>
      </c>
      <c r="Q38" s="251">
        <f>SUM(M38:P38)*(1+'System Variables'!$B$3)</f>
        <v>2176.73</v>
      </c>
      <c r="R38" s="205">
        <v>1400</v>
      </c>
      <c r="S38" s="206">
        <v>0</v>
      </c>
      <c r="T38" s="206">
        <v>425</v>
      </c>
      <c r="U38" s="209">
        <v>350</v>
      </c>
      <c r="V38" s="254">
        <f>SUM(R38:U38)*(1+'System Variables'!$B$3)</f>
        <v>2370.75</v>
      </c>
      <c r="W38" s="205">
        <v>1400</v>
      </c>
      <c r="X38" s="206">
        <v>0</v>
      </c>
      <c r="Y38" s="206">
        <v>0</v>
      </c>
      <c r="Z38" s="209">
        <v>0</v>
      </c>
      <c r="AA38" s="254">
        <f>SUM(W38:Z38)*(1+'System Variables'!$B$3)</f>
        <v>1526</v>
      </c>
      <c r="AB38" s="36"/>
    </row>
    <row r="39" spans="1:28" x14ac:dyDescent="0.3">
      <c r="A39" s="34"/>
      <c r="B39" s="263">
        <v>4</v>
      </c>
      <c r="C39" s="213">
        <v>878</v>
      </c>
      <c r="D39" s="214">
        <v>0</v>
      </c>
      <c r="E39" s="214">
        <v>0</v>
      </c>
      <c r="F39" s="214">
        <v>0</v>
      </c>
      <c r="G39" s="251">
        <f>SUM(C39:F39)*(1+'System Variables'!$B$3)</f>
        <v>957.0200000000001</v>
      </c>
      <c r="H39" s="205">
        <v>1084</v>
      </c>
      <c r="I39" s="206">
        <v>0</v>
      </c>
      <c r="J39" s="206">
        <v>337</v>
      </c>
      <c r="K39" s="206">
        <v>180</v>
      </c>
      <c r="L39" s="251">
        <f>SUM(H39:K39)*(1+'System Variables'!$B$3)</f>
        <v>1745.0900000000001</v>
      </c>
      <c r="M39" s="205">
        <v>1400</v>
      </c>
      <c r="N39" s="206">
        <v>0</v>
      </c>
      <c r="O39" s="206">
        <v>337</v>
      </c>
      <c r="P39" s="209">
        <v>260</v>
      </c>
      <c r="Q39" s="251">
        <f>SUM(M39:P39)*(1+'System Variables'!$B$3)</f>
        <v>2176.73</v>
      </c>
      <c r="R39" s="205">
        <v>1400</v>
      </c>
      <c r="S39" s="206">
        <v>0</v>
      </c>
      <c r="T39" s="206">
        <v>425</v>
      </c>
      <c r="U39" s="209">
        <v>350</v>
      </c>
      <c r="V39" s="254">
        <f>SUM(R39:U39)*(1+'System Variables'!$B$3)</f>
        <v>2370.75</v>
      </c>
      <c r="W39" s="205">
        <v>1400</v>
      </c>
      <c r="X39" s="206">
        <v>0</v>
      </c>
      <c r="Y39" s="206">
        <v>400</v>
      </c>
      <c r="Z39" s="209">
        <v>600</v>
      </c>
      <c r="AA39" s="254">
        <f>SUM(W39:Z39)*(1+'System Variables'!$B$3)</f>
        <v>2616</v>
      </c>
      <c r="AB39" s="36"/>
    </row>
    <row r="40" spans="1:28" ht="15" thickBot="1" x14ac:dyDescent="0.35">
      <c r="A40" s="34"/>
      <c r="B40" s="263">
        <v>5</v>
      </c>
      <c r="C40" s="215">
        <v>1117</v>
      </c>
      <c r="D40" s="216">
        <v>0</v>
      </c>
      <c r="E40" s="216">
        <v>0</v>
      </c>
      <c r="F40" s="216">
        <v>0</v>
      </c>
      <c r="G40" s="252">
        <f>SUM(C40:F40)*(1+'System Variables'!$B$3)</f>
        <v>1217.5300000000002</v>
      </c>
      <c r="H40" s="207">
        <v>1278</v>
      </c>
      <c r="I40" s="208">
        <v>0</v>
      </c>
      <c r="J40" s="208">
        <v>363</v>
      </c>
      <c r="K40" s="208">
        <v>180</v>
      </c>
      <c r="L40" s="252">
        <f>SUM(H40:K40)*(1+'System Variables'!$B$3)</f>
        <v>1984.89</v>
      </c>
      <c r="M40" s="207">
        <v>1400</v>
      </c>
      <c r="N40" s="208">
        <v>0</v>
      </c>
      <c r="O40" s="208">
        <v>337</v>
      </c>
      <c r="P40" s="210">
        <v>260</v>
      </c>
      <c r="Q40" s="252">
        <f>SUM(M40:P40)*(1+'System Variables'!$B$3)</f>
        <v>2176.73</v>
      </c>
      <c r="R40" s="207">
        <v>1400</v>
      </c>
      <c r="S40" s="208">
        <v>0</v>
      </c>
      <c r="T40" s="208">
        <v>425</v>
      </c>
      <c r="U40" s="210">
        <v>350</v>
      </c>
      <c r="V40" s="255">
        <f>SUM(R40:U40)*(1+'System Variables'!$B$3)</f>
        <v>2370.75</v>
      </c>
      <c r="W40" s="207">
        <v>1400</v>
      </c>
      <c r="X40" s="208">
        <v>0</v>
      </c>
      <c r="Y40" s="208">
        <v>400</v>
      </c>
      <c r="Z40" s="210">
        <v>600</v>
      </c>
      <c r="AA40" s="255">
        <f>SUM(W40:Z40)*(1+'System Variables'!$B$3)</f>
        <v>2616</v>
      </c>
      <c r="AB40" s="36"/>
    </row>
    <row r="41" spans="1:28" ht="15" thickBot="1" x14ac:dyDescent="0.35">
      <c r="A41" s="258"/>
      <c r="B41" s="275" t="s">
        <v>153</v>
      </c>
      <c r="C41" s="274" t="s">
        <v>144</v>
      </c>
      <c r="D41" s="265" t="s">
        <v>145</v>
      </c>
      <c r="E41" s="265" t="s">
        <v>146</v>
      </c>
      <c r="F41" s="265" t="s">
        <v>147</v>
      </c>
      <c r="G41" s="265" t="str">
        <f>C$3</f>
        <v>The Value Line</v>
      </c>
      <c r="H41" s="265" t="s">
        <v>144</v>
      </c>
      <c r="I41" s="265" t="s">
        <v>145</v>
      </c>
      <c r="J41" s="265" t="s">
        <v>146</v>
      </c>
      <c r="K41" s="265" t="s">
        <v>147</v>
      </c>
      <c r="L41" s="265" t="str">
        <f>H$3</f>
        <v>The Prestige</v>
      </c>
      <c r="M41" s="265" t="s">
        <v>144</v>
      </c>
      <c r="N41" s="265" t="s">
        <v>145</v>
      </c>
      <c r="O41" s="265" t="s">
        <v>146</v>
      </c>
      <c r="P41" s="265" t="s">
        <v>147</v>
      </c>
      <c r="Q41" s="265" t="str">
        <f>M$3</f>
        <v>The Supreme</v>
      </c>
      <c r="R41" s="265" t="s">
        <v>144</v>
      </c>
      <c r="S41" s="265" t="s">
        <v>145</v>
      </c>
      <c r="T41" s="265" t="s">
        <v>146</v>
      </c>
      <c r="U41" s="265" t="s">
        <v>147</v>
      </c>
      <c r="V41" s="265" t="str">
        <f>R$3</f>
        <v>The Optimum</v>
      </c>
      <c r="W41" s="265" t="s">
        <v>144</v>
      </c>
      <c r="X41" s="265" t="s">
        <v>145</v>
      </c>
      <c r="Y41" s="265" t="s">
        <v>146</v>
      </c>
      <c r="Z41" s="265" t="s">
        <v>147</v>
      </c>
      <c r="AA41" s="266" t="str">
        <f>W$3</f>
        <v>The Ultimate</v>
      </c>
      <c r="AB41" s="36"/>
    </row>
    <row r="42" spans="1:28" x14ac:dyDescent="0.3">
      <c r="A42" s="34" t="s">
        <v>149</v>
      </c>
      <c r="B42" s="262">
        <v>2</v>
      </c>
      <c r="C42" s="218">
        <v>0</v>
      </c>
      <c r="D42" s="217">
        <v>412</v>
      </c>
      <c r="E42" s="217">
        <v>0</v>
      </c>
      <c r="F42" s="217">
        <v>0</v>
      </c>
      <c r="G42" s="264">
        <f>SUM(C42:F42)*(1+'System Variables'!$B$3)</f>
        <v>449.08000000000004</v>
      </c>
      <c r="H42" s="203">
        <v>0</v>
      </c>
      <c r="I42" s="204">
        <v>470</v>
      </c>
      <c r="J42" s="204">
        <v>0</v>
      </c>
      <c r="K42" s="204">
        <v>180</v>
      </c>
      <c r="L42" s="264">
        <f>SUM(H42:K42)*(1+'System Variables'!$B$3)</f>
        <v>708.5</v>
      </c>
      <c r="M42" s="203">
        <v>1400</v>
      </c>
      <c r="N42" s="204">
        <v>470</v>
      </c>
      <c r="O42" s="204">
        <v>0</v>
      </c>
      <c r="P42" s="276">
        <v>260</v>
      </c>
      <c r="Q42" s="253">
        <f>SUM(M42:P42)*(1+'System Variables'!$B$3)</f>
        <v>2321.7000000000003</v>
      </c>
      <c r="R42" s="203">
        <v>1400</v>
      </c>
      <c r="S42" s="204">
        <v>805</v>
      </c>
      <c r="T42" s="204">
        <v>0</v>
      </c>
      <c r="U42" s="276">
        <v>350</v>
      </c>
      <c r="V42" s="253">
        <f>SUM(R42:U42)*(1+'System Variables'!$B$3)</f>
        <v>2784.9500000000003</v>
      </c>
      <c r="W42" s="203">
        <v>1400</v>
      </c>
      <c r="X42" s="204">
        <v>0</v>
      </c>
      <c r="Y42" s="204">
        <v>0</v>
      </c>
      <c r="Z42" s="276">
        <v>0</v>
      </c>
      <c r="AA42" s="253">
        <f>SUM(W42:Z42)*(1+'System Variables'!$B$3)</f>
        <v>1526</v>
      </c>
      <c r="AB42" s="36"/>
    </row>
    <row r="43" spans="1:28" x14ac:dyDescent="0.3">
      <c r="A43" s="34" t="s">
        <v>149</v>
      </c>
      <c r="B43" s="263">
        <v>2.5</v>
      </c>
      <c r="C43" s="213">
        <v>0</v>
      </c>
      <c r="D43" s="214">
        <v>412</v>
      </c>
      <c r="E43" s="214">
        <v>0</v>
      </c>
      <c r="F43" s="214">
        <v>0</v>
      </c>
      <c r="G43" s="251">
        <f>SUM(C43:F43)*(1+'System Variables'!$B$3)</f>
        <v>449.08000000000004</v>
      </c>
      <c r="H43" s="205">
        <v>0</v>
      </c>
      <c r="I43" s="206">
        <v>470</v>
      </c>
      <c r="J43" s="206">
        <v>0</v>
      </c>
      <c r="K43" s="206">
        <v>180</v>
      </c>
      <c r="L43" s="251">
        <f>SUM(H43:K43)*(1+'System Variables'!$B$3)</f>
        <v>708.5</v>
      </c>
      <c r="M43" s="205">
        <v>1400</v>
      </c>
      <c r="N43" s="206">
        <v>470</v>
      </c>
      <c r="O43" s="206">
        <v>0</v>
      </c>
      <c r="P43" s="209">
        <v>260</v>
      </c>
      <c r="Q43" s="254">
        <f>SUM(M43:P43)*(1+'System Variables'!$B$3)</f>
        <v>2321.7000000000003</v>
      </c>
      <c r="R43" s="205">
        <v>1400</v>
      </c>
      <c r="S43" s="206">
        <v>0</v>
      </c>
      <c r="T43" s="206">
        <v>0</v>
      </c>
      <c r="U43" s="209">
        <v>0</v>
      </c>
      <c r="V43" s="254">
        <f>SUM(R43:U43)*(1+'System Variables'!$B$3)</f>
        <v>1526</v>
      </c>
      <c r="W43" s="205">
        <v>1400</v>
      </c>
      <c r="X43" s="206">
        <v>0</v>
      </c>
      <c r="Y43" s="206">
        <v>0</v>
      </c>
      <c r="Z43" s="209">
        <v>0</v>
      </c>
      <c r="AA43" s="254">
        <f>SUM(W43:Z43)*(1+'System Variables'!$B$3)</f>
        <v>1526</v>
      </c>
      <c r="AB43" s="36"/>
    </row>
    <row r="44" spans="1:28" x14ac:dyDescent="0.3">
      <c r="A44" s="34" t="s">
        <v>149</v>
      </c>
      <c r="B44" s="263">
        <v>3</v>
      </c>
      <c r="C44" s="213">
        <v>0</v>
      </c>
      <c r="D44" s="214">
        <v>436</v>
      </c>
      <c r="E44" s="214">
        <v>0</v>
      </c>
      <c r="F44" s="214">
        <v>0</v>
      </c>
      <c r="G44" s="251">
        <f>SUM(C44:F44)*(1+'System Variables'!$B$3)</f>
        <v>475.24</v>
      </c>
      <c r="H44" s="205">
        <v>0</v>
      </c>
      <c r="I44" s="206">
        <v>497</v>
      </c>
      <c r="J44" s="206">
        <v>0</v>
      </c>
      <c r="K44" s="206">
        <v>180</v>
      </c>
      <c r="L44" s="251">
        <f>SUM(H44:K44)*(1+'System Variables'!$B$3)</f>
        <v>737.93000000000006</v>
      </c>
      <c r="M44" s="205">
        <v>1400</v>
      </c>
      <c r="N44" s="206">
        <v>497</v>
      </c>
      <c r="O44" s="206">
        <v>0</v>
      </c>
      <c r="P44" s="209">
        <v>260</v>
      </c>
      <c r="Q44" s="254">
        <f>SUM(M44:P44)*(1+'System Variables'!$B$3)</f>
        <v>2351.13</v>
      </c>
      <c r="R44" s="205">
        <v>1400</v>
      </c>
      <c r="S44" s="206">
        <v>859</v>
      </c>
      <c r="T44" s="206">
        <v>0</v>
      </c>
      <c r="U44" s="209">
        <v>350</v>
      </c>
      <c r="V44" s="254">
        <f>SUM(R44:U44)*(1+'System Variables'!$B$3)</f>
        <v>2843.8100000000004</v>
      </c>
      <c r="W44" s="205">
        <v>1400</v>
      </c>
      <c r="X44" s="206">
        <v>805</v>
      </c>
      <c r="Y44" s="206">
        <v>0</v>
      </c>
      <c r="Z44" s="209">
        <v>500</v>
      </c>
      <c r="AA44" s="254">
        <f>SUM(W44:Z44)*(1+'System Variables'!$B$3)</f>
        <v>2948.4500000000003</v>
      </c>
      <c r="AB44" s="36"/>
    </row>
    <row r="45" spans="1:28" x14ac:dyDescent="0.3">
      <c r="A45" s="34"/>
      <c r="B45" s="263">
        <v>3.5</v>
      </c>
      <c r="C45" s="213">
        <v>0</v>
      </c>
      <c r="D45" s="214">
        <v>485</v>
      </c>
      <c r="E45" s="214">
        <v>0</v>
      </c>
      <c r="F45" s="214">
        <v>0</v>
      </c>
      <c r="G45" s="251">
        <f>SUM(C45:F45)*(1+'System Variables'!$B$3)</f>
        <v>528.65000000000009</v>
      </c>
      <c r="H45" s="205">
        <v>0</v>
      </c>
      <c r="I45" s="206">
        <v>550</v>
      </c>
      <c r="J45" s="206">
        <v>0</v>
      </c>
      <c r="K45" s="206">
        <v>180</v>
      </c>
      <c r="L45" s="251">
        <f>SUM(H45:K45)*(1+'System Variables'!$B$3)</f>
        <v>795.7</v>
      </c>
      <c r="M45" s="205">
        <v>1400</v>
      </c>
      <c r="N45" s="206">
        <v>550</v>
      </c>
      <c r="O45" s="206">
        <v>0</v>
      </c>
      <c r="P45" s="209">
        <v>260</v>
      </c>
      <c r="Q45" s="254">
        <f>SUM(M45:P45)*(1+'System Variables'!$B$3)</f>
        <v>2408.9</v>
      </c>
      <c r="R45" s="205">
        <v>1400</v>
      </c>
      <c r="S45" s="206">
        <v>0</v>
      </c>
      <c r="T45" s="206">
        <v>0</v>
      </c>
      <c r="U45" s="209">
        <v>0</v>
      </c>
      <c r="V45" s="254">
        <f>SUM(R45:U45)*(1+'System Variables'!$B$3)</f>
        <v>1526</v>
      </c>
      <c r="W45" s="205">
        <v>1400</v>
      </c>
      <c r="X45" s="206">
        <v>0</v>
      </c>
      <c r="Y45" s="206">
        <v>0</v>
      </c>
      <c r="Z45" s="209">
        <v>0</v>
      </c>
      <c r="AA45" s="254">
        <f>SUM(W45:Z45)*(1+'System Variables'!$B$3)</f>
        <v>1526</v>
      </c>
      <c r="AB45" s="36"/>
    </row>
    <row r="46" spans="1:28" x14ac:dyDescent="0.3">
      <c r="A46" s="34"/>
      <c r="B46" s="263">
        <v>4</v>
      </c>
      <c r="C46" s="213">
        <v>0</v>
      </c>
      <c r="D46" s="214">
        <v>485</v>
      </c>
      <c r="E46" s="214">
        <v>0</v>
      </c>
      <c r="F46" s="214">
        <v>0</v>
      </c>
      <c r="G46" s="251">
        <f>SUM(C46:F46)*(1+'System Variables'!$B$3)</f>
        <v>528.65000000000009</v>
      </c>
      <c r="H46" s="205">
        <v>0</v>
      </c>
      <c r="I46" s="206">
        <v>532</v>
      </c>
      <c r="J46" s="206">
        <v>0</v>
      </c>
      <c r="K46" s="206">
        <v>180</v>
      </c>
      <c r="L46" s="251">
        <f>SUM(H46:K46)*(1+'System Variables'!$B$3)</f>
        <v>776.08</v>
      </c>
      <c r="M46" s="205">
        <v>1400</v>
      </c>
      <c r="N46" s="206">
        <v>532</v>
      </c>
      <c r="O46" s="206">
        <v>0</v>
      </c>
      <c r="P46" s="209">
        <v>260</v>
      </c>
      <c r="Q46" s="254">
        <f>SUM(M46:P46)*(1+'System Variables'!$B$3)</f>
        <v>2389.2800000000002</v>
      </c>
      <c r="R46" s="205">
        <v>1400</v>
      </c>
      <c r="S46" s="206">
        <v>859</v>
      </c>
      <c r="T46" s="206">
        <v>0</v>
      </c>
      <c r="U46" s="209">
        <v>350</v>
      </c>
      <c r="V46" s="254">
        <f>SUM(R46:U46)*(1+'System Variables'!$B$3)</f>
        <v>2843.8100000000004</v>
      </c>
      <c r="W46" s="205">
        <v>1400</v>
      </c>
      <c r="X46" s="206">
        <v>859</v>
      </c>
      <c r="Y46" s="206">
        <v>0</v>
      </c>
      <c r="Z46" s="209">
        <v>500</v>
      </c>
      <c r="AA46" s="254">
        <f>SUM(W46:Z46)*(1+'System Variables'!$B$3)</f>
        <v>3007.3100000000004</v>
      </c>
      <c r="AB46" s="36"/>
    </row>
    <row r="47" spans="1:28" ht="15" thickBot="1" x14ac:dyDescent="0.35">
      <c r="A47" s="34"/>
      <c r="B47" s="263">
        <v>5</v>
      </c>
      <c r="C47" s="215">
        <v>0</v>
      </c>
      <c r="D47" s="216">
        <v>531</v>
      </c>
      <c r="E47" s="216">
        <v>0</v>
      </c>
      <c r="F47" s="216">
        <v>0</v>
      </c>
      <c r="G47" s="252">
        <f>SUM(C47:F47)*(1+'System Variables'!$B$3)</f>
        <v>578.79000000000008</v>
      </c>
      <c r="H47" s="207">
        <v>0</v>
      </c>
      <c r="I47" s="208">
        <v>532</v>
      </c>
      <c r="J47" s="208">
        <v>0</v>
      </c>
      <c r="K47" s="208">
        <v>180</v>
      </c>
      <c r="L47" s="252">
        <f>SUM(H47:K47)*(1+'System Variables'!$B$3)</f>
        <v>776.08</v>
      </c>
      <c r="M47" s="207">
        <v>1400</v>
      </c>
      <c r="N47" s="208">
        <v>532</v>
      </c>
      <c r="O47" s="208">
        <v>0</v>
      </c>
      <c r="P47" s="210">
        <v>260</v>
      </c>
      <c r="Q47" s="255">
        <f>SUM(M47:P47)*(1+'System Variables'!$B$3)</f>
        <v>2389.2800000000002</v>
      </c>
      <c r="R47" s="207">
        <v>1400</v>
      </c>
      <c r="S47" s="208">
        <v>859</v>
      </c>
      <c r="T47" s="208">
        <v>0</v>
      </c>
      <c r="U47" s="210">
        <v>350</v>
      </c>
      <c r="V47" s="255">
        <f>SUM(R47:U47)*(1+'System Variables'!$B$3)</f>
        <v>2843.8100000000004</v>
      </c>
      <c r="W47" s="207">
        <v>1400</v>
      </c>
      <c r="X47" s="208">
        <v>859</v>
      </c>
      <c r="Y47" s="208">
        <v>0</v>
      </c>
      <c r="Z47" s="210">
        <v>500</v>
      </c>
      <c r="AA47" s="255">
        <f>SUM(W47:Z47)*(1+'System Variables'!$B$3)</f>
        <v>3007.3100000000004</v>
      </c>
      <c r="AB47" s="36"/>
    </row>
    <row r="48" spans="1:28" x14ac:dyDescent="0.3">
      <c r="A48" s="34"/>
      <c r="B48" s="35"/>
      <c r="C48" s="34"/>
      <c r="D48" s="34"/>
      <c r="E48" s="34"/>
      <c r="F48" s="34"/>
      <c r="G48" s="34"/>
      <c r="H48" s="211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6"/>
    </row>
    <row r="49" spans="1:28" x14ac:dyDescent="0.3">
      <c r="A49" s="34"/>
      <c r="B49" s="35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6"/>
    </row>
  </sheetData>
  <sheetProtection selectLockedCells="1"/>
  <mergeCells count="10">
    <mergeCell ref="R3:V3"/>
    <mergeCell ref="W3:AA3"/>
    <mergeCell ref="C3:G3"/>
    <mergeCell ref="H3:L3"/>
    <mergeCell ref="M3:Q3"/>
    <mergeCell ref="W2:AA2"/>
    <mergeCell ref="C2:G2"/>
    <mergeCell ref="H2:L2"/>
    <mergeCell ref="M2:Q2"/>
    <mergeCell ref="R2:V2"/>
  </mergeCells>
  <printOptions horizontalCentered="1" verticalCentered="1"/>
  <pageMargins left="0" right="0" top="0.75" bottom="0.75" header="0.3" footer="0.3"/>
  <pageSetup scale="64" fitToWidth="2" orientation="landscape" r:id="rId1"/>
  <headerFooter>
    <oddFooter>&amp;L&amp;D&amp;T&amp;CConfidential&amp;R&amp;F</oddFooter>
  </headerFooter>
  <colBreaks count="1" manualBreakCount="1">
    <brk id="17" max="52" man="1"/>
  </colBreaks>
  <ignoredErrors>
    <ignoredError sqref="G35:G40" formulaRange="1"/>
  </ignoredErrors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Z61"/>
  <sheetViews>
    <sheetView showGridLines="0" zoomScaleNormal="100" zoomScaleSheetLayoutView="100" workbookViewId="0">
      <pane xSplit="2" ySplit="5" topLeftCell="C6" activePane="bottomRight" state="frozen"/>
      <selection pane="topRight" activeCell="C1" sqref="C1"/>
      <selection pane="bottomLeft" activeCell="A5" sqref="A5"/>
      <selection pane="bottomRight"/>
    </sheetView>
  </sheetViews>
  <sheetFormatPr defaultColWidth="8.88671875" defaultRowHeight="14.4" x14ac:dyDescent="0.3"/>
  <cols>
    <col min="3" max="3" width="26.33203125" customWidth="1"/>
    <col min="4" max="4" width="13.44140625" bestFit="1" customWidth="1"/>
    <col min="5" max="5" width="13.6640625" bestFit="1" customWidth="1"/>
    <col min="6" max="6" width="14" bestFit="1" customWidth="1"/>
    <col min="7" max="7" width="18.109375" customWidth="1"/>
    <col min="8" max="8" width="6.44140625" customWidth="1"/>
    <col min="9" max="9" width="13.109375" bestFit="1" customWidth="1"/>
    <col min="10" max="10" width="13.44140625" bestFit="1" customWidth="1"/>
    <col min="11" max="11" width="13.6640625" bestFit="1" customWidth="1"/>
    <col min="12" max="12" width="14" bestFit="1" customWidth="1"/>
    <col min="13" max="13" width="18.109375" bestFit="1" customWidth="1"/>
    <col min="14" max="14" width="19.109375" customWidth="1"/>
    <col min="15" max="15" width="16.44140625" customWidth="1"/>
    <col min="16" max="16" width="13.44140625" bestFit="1" customWidth="1"/>
    <col min="17" max="17" width="13.6640625" bestFit="1" customWidth="1"/>
    <col min="18" max="18" width="14" bestFit="1" customWidth="1"/>
    <col min="19" max="19" width="19" customWidth="1"/>
    <col min="20" max="20" width="4.44140625" customWidth="1"/>
    <col min="21" max="21" width="13.109375" bestFit="1" customWidth="1"/>
    <col min="22" max="22" width="13.44140625" bestFit="1" customWidth="1"/>
    <col min="23" max="23" width="13.6640625" bestFit="1" customWidth="1"/>
    <col min="24" max="24" width="16.44140625" customWidth="1"/>
    <col min="25" max="25" width="18.109375" bestFit="1" customWidth="1"/>
  </cols>
  <sheetData>
    <row r="1" spans="1:26" ht="27" customHeight="1" x14ac:dyDescent="0.3">
      <c r="A1" s="72"/>
      <c r="B1" s="234" t="s">
        <v>154</v>
      </c>
      <c r="C1" s="235" t="s">
        <v>155</v>
      </c>
      <c r="D1" s="235"/>
      <c r="E1" s="235"/>
      <c r="F1" s="235"/>
      <c r="G1" s="235"/>
      <c r="H1" s="236"/>
      <c r="I1" s="236"/>
      <c r="J1" s="236"/>
      <c r="K1" s="236"/>
      <c r="L1" s="236"/>
      <c r="M1" s="236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198"/>
    </row>
    <row r="2" spans="1:26" x14ac:dyDescent="0.3">
      <c r="A2" s="49"/>
      <c r="B2" s="71" t="s">
        <v>156</v>
      </c>
      <c r="C2" s="219">
        <v>0.05</v>
      </c>
      <c r="D2" s="220">
        <v>0.06</v>
      </c>
      <c r="E2" s="220">
        <v>0.08</v>
      </c>
      <c r="F2" s="220">
        <v>0.1</v>
      </c>
      <c r="G2" s="220">
        <v>0.12</v>
      </c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26" x14ac:dyDescent="0.3">
      <c r="A3" s="49"/>
      <c r="B3" s="71" t="s">
        <v>157</v>
      </c>
      <c r="C3" s="220">
        <v>0.05</v>
      </c>
      <c r="D3" s="220">
        <v>0.05</v>
      </c>
      <c r="E3" s="220">
        <v>0.05</v>
      </c>
      <c r="F3" s="220">
        <v>0.05</v>
      </c>
      <c r="G3" s="220">
        <v>0.05</v>
      </c>
      <c r="H3" s="221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 spans="1:26" x14ac:dyDescent="0.3">
      <c r="A4" s="49"/>
      <c r="B4" s="49"/>
      <c r="C4" s="305" t="s">
        <v>158</v>
      </c>
      <c r="D4" s="306"/>
      <c r="E4" s="306"/>
      <c r="F4" s="306"/>
      <c r="G4" s="307"/>
      <c r="H4" s="49"/>
      <c r="I4" s="305" t="s">
        <v>159</v>
      </c>
      <c r="J4" s="306"/>
      <c r="K4" s="306"/>
      <c r="L4" s="306"/>
      <c r="M4" s="307"/>
      <c r="N4" s="49"/>
      <c r="O4" s="305" t="s">
        <v>160</v>
      </c>
      <c r="P4" s="306"/>
      <c r="Q4" s="306"/>
      <c r="R4" s="306"/>
      <c r="S4" s="307"/>
      <c r="T4" s="49"/>
      <c r="U4" s="303" t="s">
        <v>161</v>
      </c>
      <c r="V4" s="304"/>
      <c r="W4" s="304"/>
      <c r="X4" s="304"/>
      <c r="Y4" s="304"/>
      <c r="Z4" s="49"/>
    </row>
    <row r="5" spans="1:26" x14ac:dyDescent="0.3">
      <c r="A5" s="222"/>
      <c r="B5" s="223" t="s">
        <v>143</v>
      </c>
      <c r="C5" s="12" t="str">
        <f>'Equipment Costs'!$C$3</f>
        <v>The Value Line</v>
      </c>
      <c r="D5" s="12" t="str">
        <f>'Equipment Costs'!$H$3</f>
        <v>The Prestige</v>
      </c>
      <c r="E5" s="12" t="str">
        <f>'Equipment Costs'!$M$3</f>
        <v>The Supreme</v>
      </c>
      <c r="F5" s="12" t="str">
        <f>'Equipment Costs'!$R$3</f>
        <v>The Optimum</v>
      </c>
      <c r="G5" s="12" t="str">
        <f>'Equipment Costs'!$W$3</f>
        <v>The Ultimate</v>
      </c>
      <c r="H5" s="49"/>
      <c r="I5" s="12" t="str">
        <f>'Equipment Costs'!$C$3</f>
        <v>The Value Line</v>
      </c>
      <c r="J5" s="12" t="str">
        <f>'Equipment Costs'!$H$3</f>
        <v>The Prestige</v>
      </c>
      <c r="K5" s="12" t="str">
        <f>'Equipment Costs'!$M$3</f>
        <v>The Supreme</v>
      </c>
      <c r="L5" s="12" t="str">
        <f>'Equipment Costs'!$R$3</f>
        <v>The Optimum</v>
      </c>
      <c r="M5" s="12" t="str">
        <f>'Equipment Costs'!$W$3</f>
        <v>The Ultimate</v>
      </c>
      <c r="N5" s="12" t="str">
        <f>B5</f>
        <v>SPLIT_GAS</v>
      </c>
      <c r="O5" s="12" t="str">
        <f>'Equipment Costs'!$C$3</f>
        <v>The Value Line</v>
      </c>
      <c r="P5" s="12" t="str">
        <f>'Equipment Costs'!$H$3</f>
        <v>The Prestige</v>
      </c>
      <c r="Q5" s="12" t="str">
        <f>'Equipment Costs'!$M$3</f>
        <v>The Supreme</v>
      </c>
      <c r="R5" s="12" t="str">
        <f>'Equipment Costs'!$R$3</f>
        <v>The Optimum</v>
      </c>
      <c r="S5" s="12" t="str">
        <f>'Equipment Costs'!$W$3</f>
        <v>The Ultimate</v>
      </c>
      <c r="T5" s="49"/>
      <c r="U5" s="12" t="str">
        <f>'Equipment Costs'!$C$3</f>
        <v>The Value Line</v>
      </c>
      <c r="V5" s="12" t="str">
        <f>'Equipment Costs'!$H$3</f>
        <v>The Prestige</v>
      </c>
      <c r="W5" s="12" t="str">
        <f>'Equipment Costs'!$M$3</f>
        <v>The Supreme</v>
      </c>
      <c r="X5" s="12" t="str">
        <f>'Equipment Costs'!$R$3</f>
        <v>The Optimum</v>
      </c>
      <c r="Y5" s="12" t="str">
        <f>'Equipment Costs'!$W$3</f>
        <v>The Ultimate</v>
      </c>
      <c r="Z5" s="49"/>
    </row>
    <row r="6" spans="1:26" x14ac:dyDescent="0.3">
      <c r="A6" s="49"/>
      <c r="B6" s="224">
        <v>2</v>
      </c>
      <c r="C6" s="225">
        <f>+((((('Equipment Costs'!G7)+'System Variables'!$D$53)+(I6)))/(1-C$2)/(1-$C$3))</f>
        <v>7840.1599612634427</v>
      </c>
      <c r="D6" s="225">
        <f>+((((('Equipment Costs'!L7)+'System Variables'!$D$53)+(J6)))/(1-D$2)/(1-$C$3))</f>
        <v>9393.1403863832675</v>
      </c>
      <c r="E6" s="225">
        <f>+((((('Equipment Costs'!Q7)+'System Variables'!$D$53)+(K6)))/(1-E$2)/(1-$C$3))</f>
        <v>10741.412316979699</v>
      </c>
      <c r="F6" s="225">
        <f>+((((('Equipment Costs'!V7)+'System Variables'!$D$53)+(L6)))/(1-F$2)/(1-$C$3))</f>
        <v>11675.361830456439</v>
      </c>
      <c r="G6" s="225" t="s">
        <v>162</v>
      </c>
      <c r="H6" s="18"/>
      <c r="I6" s="225">
        <f>'Labor Rate'!$L$7+'Pricing-GP-Margin'!U6</f>
        <v>3819.0755650402562</v>
      </c>
      <c r="J6" s="225">
        <f>'Labor Rate'!$L$7+'Pricing-GP-Margin'!V6</f>
        <v>4219.0755650402562</v>
      </c>
      <c r="K6" s="225">
        <f>'Labor Rate'!$L$7+'Pricing-GP-Margin'!W6</f>
        <v>4469.0755650402562</v>
      </c>
      <c r="L6" s="225">
        <f>'Labor Rate'!$L$7+'Pricing-GP-Margin'!X6</f>
        <v>4719.0755650402562</v>
      </c>
      <c r="M6" s="225">
        <f>'Labor Rate'!$L$7+'Pricing-GP-Margin'!Y6</f>
        <v>5019.0755650402562</v>
      </c>
      <c r="N6" s="226">
        <v>2</v>
      </c>
      <c r="O6" s="227">
        <f>+(I6/C6)</f>
        <v>0.48711704657934196</v>
      </c>
      <c r="P6" s="227">
        <f>+(J6/D6)</f>
        <v>0.44916560292832675</v>
      </c>
      <c r="Q6" s="227">
        <f>+(K6/E6)</f>
        <v>0.41606033109590973</v>
      </c>
      <c r="R6" s="227">
        <f t="shared" ref="R6:S11" si="0">+(L6/F6)</f>
        <v>0.40419094787538312</v>
      </c>
      <c r="S6" s="227" t="e">
        <f t="shared" si="0"/>
        <v>#VALUE!</v>
      </c>
      <c r="T6" s="18"/>
      <c r="U6" s="228">
        <v>0</v>
      </c>
      <c r="V6" s="228">
        <v>400</v>
      </c>
      <c r="W6" s="228">
        <v>650</v>
      </c>
      <c r="X6" s="228">
        <v>900</v>
      </c>
      <c r="Y6" s="228">
        <v>1200</v>
      </c>
      <c r="Z6" s="49"/>
    </row>
    <row r="7" spans="1:26" x14ac:dyDescent="0.3">
      <c r="A7" s="229"/>
      <c r="B7" s="226">
        <v>2.5</v>
      </c>
      <c r="C7" s="230">
        <f>+((((('Equipment Costs'!G8)+'System Variables'!$D$53)+(I7)))/(1-C$2)/(1-$C$3))</f>
        <v>7912.6253352246613</v>
      </c>
      <c r="D7" s="230">
        <f>+((((('Equipment Costs'!L8)+'System Variables'!$D$53)+(J7)))/(1-D$2)/(1-$C$3))</f>
        <v>9438.3027604034232</v>
      </c>
      <c r="E7" s="230">
        <f>+((((('Equipment Costs'!Q8)+'System Variables'!$D$53)+(K7)))/(1-E$2)/(1-$C$3))</f>
        <v>10826.217808970543</v>
      </c>
      <c r="F7" s="230">
        <f>+((((('Equipment Costs'!V8)+'System Variables'!$D$53)+(L7)))/(1-F$2)/(1-$C$3))</f>
        <v>11804.122064374567</v>
      </c>
      <c r="G7" s="230">
        <f>+((((('Equipment Costs'!AA8)+'System Variables'!$D$53)+(M7)))/(1-G$2)/(1-$C$3))</f>
        <v>12801.536321818488</v>
      </c>
      <c r="H7" s="59"/>
      <c r="I7" s="59">
        <f>'Labor Rate'!$L$7+'Pricing-GP-Margin'!U7</f>
        <v>3819.0755650402562</v>
      </c>
      <c r="J7" s="59">
        <f>'Labor Rate'!$L$7+'Pricing-GP-Margin'!V7</f>
        <v>4219.0755650402562</v>
      </c>
      <c r="K7" s="59">
        <f>'Labor Rate'!$L$7+'Pricing-GP-Margin'!W7</f>
        <v>4469.0755650402562</v>
      </c>
      <c r="L7" s="59">
        <f>'Labor Rate'!$L$7+'Pricing-GP-Margin'!X7</f>
        <v>4719.0755650402562</v>
      </c>
      <c r="M7" s="59">
        <f>'Labor Rate'!$L$7+'Pricing-GP-Margin'!Y7</f>
        <v>5019.0755650402562</v>
      </c>
      <c r="N7" s="226">
        <v>2.5</v>
      </c>
      <c r="O7" s="231">
        <f>+(I7/C7)</f>
        <v>0.48265593317541072</v>
      </c>
      <c r="P7" s="231">
        <f t="shared" ref="P7:P11" si="1">+(J7/D7)</f>
        <v>0.44701634098246701</v>
      </c>
      <c r="Q7" s="231">
        <f t="shared" ref="Q7:Q11" si="2">+(K7/E7)</f>
        <v>0.41280118725647708</v>
      </c>
      <c r="R7" s="231">
        <f t="shared" si="0"/>
        <v>0.399782003210782</v>
      </c>
      <c r="S7" s="231">
        <f t="shared" si="0"/>
        <v>0.39206822047490664</v>
      </c>
      <c r="T7" s="18"/>
      <c r="U7" s="228">
        <v>0</v>
      </c>
      <c r="V7" s="228">
        <v>400</v>
      </c>
      <c r="W7" s="228">
        <v>650</v>
      </c>
      <c r="X7" s="228">
        <v>900</v>
      </c>
      <c r="Y7" s="228">
        <v>1200</v>
      </c>
      <c r="Z7" s="49"/>
    </row>
    <row r="8" spans="1:26" x14ac:dyDescent="0.3">
      <c r="A8" s="49"/>
      <c r="B8" s="224">
        <v>3</v>
      </c>
      <c r="C8" s="225">
        <f>+((((('Equipment Costs'!G9)+'System Variables'!$D$53)+(I8)))/(1-C$2)/(1-$C$3))</f>
        <v>8070.8414017066552</v>
      </c>
      <c r="D8" s="225">
        <f>+((((('Equipment Costs'!L9)+'System Variables'!$D$53)+(J8)))/(1-D$2)/(1-$C$3))</f>
        <v>9706.8357951178677</v>
      </c>
      <c r="E8" s="225">
        <f>+((((('Equipment Costs'!Q9)+'System Variables'!$D$53)+(K8)))/(1-E$2)/(1-$C$3))</f>
        <v>11039.478678535761</v>
      </c>
      <c r="F8" s="225">
        <f>+((((('Equipment Costs'!V9)+'System Variables'!$D$53)+(L8)))/(1-F$2)/(1-$C$3))</f>
        <v>11804.122064374567</v>
      </c>
      <c r="G8" s="225">
        <f>+((((('Equipment Costs'!AA9)+'System Variables'!$D$53)+(M8)))/(1-G$2)/(1-$C$3))</f>
        <v>12801.536321818488</v>
      </c>
      <c r="H8" s="232"/>
      <c r="I8" s="225">
        <f>'Labor Rate'!$L$7+'Pricing-GP-Margin'!U8</f>
        <v>3819.0755650402562</v>
      </c>
      <c r="J8" s="225">
        <f>'Labor Rate'!$L$7+'Pricing-GP-Margin'!V8</f>
        <v>4219.0755650402562</v>
      </c>
      <c r="K8" s="225">
        <f>'Labor Rate'!$L$7+'Pricing-GP-Margin'!W8</f>
        <v>4469.0755650402562</v>
      </c>
      <c r="L8" s="225">
        <f>'Labor Rate'!$L$7+'Pricing-GP-Margin'!X8</f>
        <v>4719.0755650402562</v>
      </c>
      <c r="M8" s="225">
        <f>'Labor Rate'!$L$7+'Pricing-GP-Margin'!Y8</f>
        <v>5019.0755650402562</v>
      </c>
      <c r="N8" s="226">
        <v>3</v>
      </c>
      <c r="O8" s="227">
        <f t="shared" ref="O8:O11" si="3">+(I8/C8)</f>
        <v>0.4731942278326367</v>
      </c>
      <c r="P8" s="227">
        <f t="shared" si="1"/>
        <v>0.43464993681692593</v>
      </c>
      <c r="Q8" s="227">
        <f t="shared" si="2"/>
        <v>0.40482668567760838</v>
      </c>
      <c r="R8" s="227">
        <f t="shared" si="0"/>
        <v>0.399782003210782</v>
      </c>
      <c r="S8" s="227">
        <f t="shared" si="0"/>
        <v>0.39206822047490664</v>
      </c>
      <c r="T8" s="18"/>
      <c r="U8" s="228">
        <v>0</v>
      </c>
      <c r="V8" s="228">
        <v>400</v>
      </c>
      <c r="W8" s="228">
        <v>650</v>
      </c>
      <c r="X8" s="228">
        <v>900</v>
      </c>
      <c r="Y8" s="228">
        <v>1200</v>
      </c>
      <c r="Z8" s="49"/>
    </row>
    <row r="9" spans="1:26" x14ac:dyDescent="0.3">
      <c r="A9" s="49"/>
      <c r="B9" s="226">
        <v>3.5</v>
      </c>
      <c r="C9" s="230">
        <f>+((((('Equipment Costs'!G10)+'System Variables'!$D$53)+(I9)))/(1-C$2)/(1-$C$3))</f>
        <v>8303.9383546152421</v>
      </c>
      <c r="D9" s="230">
        <f>+((((('Equipment Costs'!L10)+'System Variables'!$D$53)+(J9)))/(1-D$2)/(1-$C$3))</f>
        <v>9961.9421780965931</v>
      </c>
      <c r="E9" s="230">
        <f>+((((('Equipment Costs'!Q10)+'System Variables'!$D$53)+(K9)))/(1-E$2)/(1-$C$3))</f>
        <v>11039.478678535761</v>
      </c>
      <c r="F9" s="230">
        <f>+((((('Equipment Costs'!V10)+'System Variables'!$D$53)+(L9)))/(1-F$2)/(1-$C$3))</f>
        <v>11867.864754433049</v>
      </c>
      <c r="G9" s="230">
        <f>+((((('Equipment Costs'!AA10)+'System Variables'!$D$53)+(M9)))/(1-G$2)/(1-$C$3))</f>
        <v>12939.742063445285</v>
      </c>
      <c r="H9" s="232"/>
      <c r="I9" s="59">
        <f>'Labor Rate'!$L$7+'Pricing-GP-Margin'!U9</f>
        <v>3819.0755650402562</v>
      </c>
      <c r="J9" s="59">
        <f>'Labor Rate'!$L$7+'Pricing-GP-Margin'!V9</f>
        <v>4219.0755650402562</v>
      </c>
      <c r="K9" s="59">
        <f>'Labor Rate'!$L$7+'Pricing-GP-Margin'!W9</f>
        <v>4469.0755650402562</v>
      </c>
      <c r="L9" s="59">
        <f>'Labor Rate'!$L$7+'Pricing-GP-Margin'!X9</f>
        <v>4719.0755650402562</v>
      </c>
      <c r="M9" s="59">
        <f>'Labor Rate'!$L$7+'Pricing-GP-Margin'!Y9</f>
        <v>5019.0755650402562</v>
      </c>
      <c r="N9" s="226">
        <v>3.5</v>
      </c>
      <c r="O9" s="233">
        <f t="shared" si="3"/>
        <v>0.4599113579543439</v>
      </c>
      <c r="P9" s="233">
        <f t="shared" si="1"/>
        <v>0.42351937901394104</v>
      </c>
      <c r="Q9" s="233">
        <f t="shared" si="2"/>
        <v>0.40482668567760838</v>
      </c>
      <c r="R9" s="233">
        <f t="shared" si="0"/>
        <v>0.3976347609857554</v>
      </c>
      <c r="S9" s="233">
        <f t="shared" si="0"/>
        <v>0.38788065020392665</v>
      </c>
      <c r="T9" s="18"/>
      <c r="U9" s="228">
        <v>0</v>
      </c>
      <c r="V9" s="228">
        <v>400</v>
      </c>
      <c r="W9" s="228">
        <v>650</v>
      </c>
      <c r="X9" s="228">
        <v>900</v>
      </c>
      <c r="Y9" s="228">
        <v>1200</v>
      </c>
      <c r="Z9" s="49"/>
    </row>
    <row r="10" spans="1:26" x14ac:dyDescent="0.3">
      <c r="A10" s="49"/>
      <c r="B10" s="224">
        <v>4</v>
      </c>
      <c r="C10" s="225">
        <f>+((((('Equipment Costs'!G11)+'System Variables'!$D$53)+(I10)))/(1-C$2)/(1-$C$3))</f>
        <v>8448.8691025376811</v>
      </c>
      <c r="D10" s="225">
        <f>+((((('Equipment Costs'!L11)+'System Variables'!$D$53)+(J10)))/(1-D$2)/(1-$C$3))</f>
        <v>10069.35539198237</v>
      </c>
      <c r="E10" s="225">
        <f>+((((('Equipment Costs'!Q11)+'System Variables'!$D$53)+(K10)))/(1-E$2)/(1-$C$3))</f>
        <v>11039.478678535761</v>
      </c>
      <c r="F10" s="225">
        <f>+((((('Equipment Costs'!V11)+'System Variables'!$D$53)+(L10)))/(1-F$2)/(1-$C$3))</f>
        <v>11867.864754433049</v>
      </c>
      <c r="G10" s="225">
        <f>+((((('Equipment Costs'!AA11)+'System Variables'!$D$53)+(M10)))/(1-G$2)/(1-$C$3))</f>
        <v>12939.742063445285</v>
      </c>
      <c r="H10" s="232"/>
      <c r="I10" s="225">
        <f>'Labor Rate'!$L$7+'Pricing-GP-Margin'!U10</f>
        <v>3819.0755650402562</v>
      </c>
      <c r="J10" s="225">
        <f>'Labor Rate'!$L$7+'Pricing-GP-Margin'!V10</f>
        <v>4219.0755650402562</v>
      </c>
      <c r="K10" s="225">
        <f>'Labor Rate'!$L$7+'Pricing-GP-Margin'!W10</f>
        <v>4469.0755650402562</v>
      </c>
      <c r="L10" s="225">
        <f>'Labor Rate'!$L$7+'Pricing-GP-Margin'!X10</f>
        <v>4719.0755650402562</v>
      </c>
      <c r="M10" s="225">
        <f>'Labor Rate'!$L$7+'Pricing-GP-Margin'!Y10</f>
        <v>5019.0755650402562</v>
      </c>
      <c r="N10" s="226">
        <v>4</v>
      </c>
      <c r="O10" s="227">
        <f t="shared" si="3"/>
        <v>0.45202210126479153</v>
      </c>
      <c r="P10" s="227">
        <f t="shared" si="1"/>
        <v>0.4190015547966115</v>
      </c>
      <c r="Q10" s="227">
        <f t="shared" si="2"/>
        <v>0.40482668567760838</v>
      </c>
      <c r="R10" s="227">
        <f t="shared" si="0"/>
        <v>0.3976347609857554</v>
      </c>
      <c r="S10" s="227">
        <f t="shared" si="0"/>
        <v>0.38788065020392665</v>
      </c>
      <c r="T10" s="18"/>
      <c r="U10" s="228">
        <v>0</v>
      </c>
      <c r="V10" s="228">
        <v>400</v>
      </c>
      <c r="W10" s="228">
        <v>650</v>
      </c>
      <c r="X10" s="228">
        <v>900</v>
      </c>
      <c r="Y10" s="228">
        <v>1200</v>
      </c>
      <c r="Z10" s="49"/>
    </row>
    <row r="11" spans="1:26" x14ac:dyDescent="0.3">
      <c r="A11" s="49"/>
      <c r="B11" s="226">
        <v>5</v>
      </c>
      <c r="C11" s="230">
        <f>+((((('Equipment Costs'!G12)+'System Variables'!$D$53)+(I11)))/(1-C$2)/(1-$C$3))</f>
        <v>8737.5228421498705</v>
      </c>
      <c r="D11" s="230">
        <f>+((((('Equipment Costs'!L12)+'System Variables'!$D$53)+(J11)))/(1-D$2)/(1-$C$3))</f>
        <v>10372.065358387743</v>
      </c>
      <c r="E11" s="230">
        <f>+((((('Equipment Costs'!Q12)+'System Variables'!$D$53)+(K11)))/(1-E$2)/(1-$C$3))</f>
        <v>11039.478678535761</v>
      </c>
      <c r="F11" s="230">
        <f>+((((('Equipment Costs'!V12)+'System Variables'!$D$53)+(L11)))/(1-F$2)/(1-$C$3))</f>
        <v>11867.864754433049</v>
      </c>
      <c r="G11" s="230">
        <f>+((((('Equipment Costs'!AA12)+'System Variables'!$D$53)+(M11)))/(1-G$2)/(1-$C$3))</f>
        <v>12939.742063445285</v>
      </c>
      <c r="H11" s="59"/>
      <c r="I11" s="59">
        <f>'Labor Rate'!$L$7+'Pricing-GP-Margin'!U11</f>
        <v>3819.0755650402562</v>
      </c>
      <c r="J11" s="59">
        <f>'Labor Rate'!$L$7+'Pricing-GP-Margin'!V11</f>
        <v>4219.0755650402562</v>
      </c>
      <c r="K11" s="59">
        <f>'Labor Rate'!$L$7+'Pricing-GP-Margin'!W11</f>
        <v>4469.0755650402562</v>
      </c>
      <c r="L11" s="59">
        <f>'Labor Rate'!$L$7+'Pricing-GP-Margin'!X11</f>
        <v>4719.0755650402562</v>
      </c>
      <c r="M11" s="59">
        <f>'Labor Rate'!$L$7+'Pricing-GP-Margin'!Y11</f>
        <v>5019.0755650402562</v>
      </c>
      <c r="N11" s="226">
        <v>5</v>
      </c>
      <c r="O11" s="231">
        <f t="shared" si="3"/>
        <v>0.43708905075669835</v>
      </c>
      <c r="P11" s="231">
        <f t="shared" si="1"/>
        <v>0.40677294437104072</v>
      </c>
      <c r="Q11" s="231">
        <f t="shared" si="2"/>
        <v>0.40482668567760838</v>
      </c>
      <c r="R11" s="231">
        <f t="shared" si="0"/>
        <v>0.3976347609857554</v>
      </c>
      <c r="S11" s="231">
        <f t="shared" si="0"/>
        <v>0.38788065020392665</v>
      </c>
      <c r="T11" s="18"/>
      <c r="U11" s="228">
        <v>0</v>
      </c>
      <c r="V11" s="228">
        <v>400</v>
      </c>
      <c r="W11" s="228">
        <v>650</v>
      </c>
      <c r="X11" s="228">
        <v>900</v>
      </c>
      <c r="Y11" s="228">
        <v>1200</v>
      </c>
      <c r="Z11" s="49"/>
    </row>
    <row r="12" spans="1:26" x14ac:dyDescent="0.3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" x14ac:dyDescent="0.3">
      <c r="A13" s="49"/>
      <c r="B13" s="49"/>
      <c r="C13" s="305" t="s">
        <v>158</v>
      </c>
      <c r="D13" s="306"/>
      <c r="E13" s="306"/>
      <c r="F13" s="306"/>
      <c r="G13" s="307"/>
      <c r="H13" s="49"/>
      <c r="I13" s="305" t="s">
        <v>159</v>
      </c>
      <c r="J13" s="306"/>
      <c r="K13" s="306"/>
      <c r="L13" s="306"/>
      <c r="M13" s="307"/>
      <c r="N13" s="49"/>
      <c r="O13" s="305" t="s">
        <v>160</v>
      </c>
      <c r="P13" s="306"/>
      <c r="Q13" s="306"/>
      <c r="R13" s="306"/>
      <c r="S13" s="306"/>
      <c r="T13" s="49"/>
      <c r="U13" s="305" t="s">
        <v>163</v>
      </c>
      <c r="V13" s="306"/>
      <c r="W13" s="306"/>
      <c r="X13" s="306"/>
      <c r="Y13" s="307"/>
      <c r="Z13" s="49"/>
    </row>
    <row r="14" spans="1:26" x14ac:dyDescent="0.3">
      <c r="A14" s="222"/>
      <c r="B14" s="223" t="s">
        <v>148</v>
      </c>
      <c r="C14" s="12" t="str">
        <f>'Equipment Costs'!$C$3</f>
        <v>The Value Line</v>
      </c>
      <c r="D14" s="12" t="str">
        <f>'Equipment Costs'!$H$3</f>
        <v>The Prestige</v>
      </c>
      <c r="E14" s="12" t="str">
        <f>'Equipment Costs'!$M$3</f>
        <v>The Supreme</v>
      </c>
      <c r="F14" s="12" t="str">
        <f>'Equipment Costs'!$R$3</f>
        <v>The Optimum</v>
      </c>
      <c r="G14" s="12" t="str">
        <f>'Equipment Costs'!$W$3</f>
        <v>The Ultimate</v>
      </c>
      <c r="H14" s="49"/>
      <c r="I14" s="12" t="str">
        <f>'Equipment Costs'!$C$3</f>
        <v>The Value Line</v>
      </c>
      <c r="J14" s="12" t="str">
        <f>'Equipment Costs'!$H$3</f>
        <v>The Prestige</v>
      </c>
      <c r="K14" s="12" t="str">
        <f>'Equipment Costs'!$M$3</f>
        <v>The Supreme</v>
      </c>
      <c r="L14" s="12" t="str">
        <f>'Equipment Costs'!$R$3</f>
        <v>The Optimum</v>
      </c>
      <c r="M14" s="12" t="str">
        <f>'Equipment Costs'!$W$3</f>
        <v>The Ultimate</v>
      </c>
      <c r="N14" s="32" t="str">
        <f>B14</f>
        <v>SPLIT_HP</v>
      </c>
      <c r="O14" s="12" t="str">
        <f>'Equipment Costs'!$C$3</f>
        <v>The Value Line</v>
      </c>
      <c r="P14" s="12" t="str">
        <f>'Equipment Costs'!$H$3</f>
        <v>The Prestige</v>
      </c>
      <c r="Q14" s="12" t="str">
        <f>'Equipment Costs'!$M$3</f>
        <v>The Supreme</v>
      </c>
      <c r="R14" s="12" t="str">
        <f>'Equipment Costs'!$R$3</f>
        <v>The Optimum</v>
      </c>
      <c r="S14" s="12" t="str">
        <f>'Equipment Costs'!$W$3</f>
        <v>The Ultimate</v>
      </c>
      <c r="T14" s="49"/>
      <c r="U14" s="12" t="str">
        <f>'Equipment Costs'!$C$3</f>
        <v>The Value Line</v>
      </c>
      <c r="V14" s="12" t="str">
        <f>'Equipment Costs'!$H$3</f>
        <v>The Prestige</v>
      </c>
      <c r="W14" s="12" t="str">
        <f>'Equipment Costs'!$M$3</f>
        <v>The Supreme</v>
      </c>
      <c r="X14" s="12" t="str">
        <f>'Equipment Costs'!$R$3</f>
        <v>The Optimum</v>
      </c>
      <c r="Y14" s="12" t="str">
        <f>'Equipment Costs'!$W$3</f>
        <v>The Ultimate</v>
      </c>
      <c r="Z14" s="49"/>
    </row>
    <row r="15" spans="1:26" x14ac:dyDescent="0.3">
      <c r="A15" s="49"/>
      <c r="B15" s="224">
        <v>2</v>
      </c>
      <c r="C15" s="225">
        <f>+((((('Equipment Costs'!G14)+'System Variables'!$F$53)+(I15)))/(1-C$2)/(1-$C$3))</f>
        <v>7772.9688255293704</v>
      </c>
      <c r="D15" s="225">
        <f>+((((('Equipment Costs'!L14)+'System Variables'!$F$53)+(J15)))/(1-D$2)/(1-$C$3))</f>
        <v>9526.6342273687096</v>
      </c>
      <c r="E15" s="225">
        <f>+((((('Equipment Costs'!Q14)+'System Variables'!$F$53)+(K15)))/(1-E$2)/(1-$C$3))</f>
        <v>10648.334513776037</v>
      </c>
      <c r="F15" s="225">
        <f>+((((('Equipment Costs'!V14)+'System Variables'!$F$53)+(L15)))/(1-F$2)/(1-$C$3))</f>
        <v>11473.127912327785</v>
      </c>
      <c r="G15" s="225" t="s">
        <v>162</v>
      </c>
      <c r="H15" s="18"/>
      <c r="I15" s="225">
        <f>'Labor Rate'!$L$7+'Pricing-GP-Margin'!U15</f>
        <v>3819.0755650402562</v>
      </c>
      <c r="J15" s="225">
        <f>'Labor Rate'!$L$7+'Pricing-GP-Margin'!V15</f>
        <v>4219.0755650402562</v>
      </c>
      <c r="K15" s="225">
        <f>'Labor Rate'!$L$7+'Pricing-GP-Margin'!W15</f>
        <v>4469.0755650402562</v>
      </c>
      <c r="L15" s="225">
        <f>'Labor Rate'!$L$7+'Pricing-GP-Margin'!X15</f>
        <v>4719.0755650402562</v>
      </c>
      <c r="M15" s="225">
        <f>'Labor Rate'!$L$7+'Pricing-GP-Margin'!Y15</f>
        <v>5019.0755650402562</v>
      </c>
      <c r="N15" s="226">
        <v>2</v>
      </c>
      <c r="O15" s="227">
        <f>+(I15/C15)</f>
        <v>0.49132778617315009</v>
      </c>
      <c r="P15" s="227">
        <f>+(J15/D15)</f>
        <v>0.44287158133136173</v>
      </c>
      <c r="Q15" s="227">
        <f>+(K15/E15)</f>
        <v>0.41969714223933263</v>
      </c>
      <c r="R15" s="227">
        <f t="shared" ref="R15:R20" si="4">+(L15/F15)</f>
        <v>0.41131551928133275</v>
      </c>
      <c r="S15" s="227" t="e">
        <f t="shared" ref="S15:S20" si="5">+(M15/G15)</f>
        <v>#VALUE!</v>
      </c>
      <c r="T15" s="18"/>
      <c r="U15" s="228">
        <v>0</v>
      </c>
      <c r="V15" s="228">
        <v>400</v>
      </c>
      <c r="W15" s="228">
        <v>650</v>
      </c>
      <c r="X15" s="228">
        <v>900</v>
      </c>
      <c r="Y15" s="228">
        <v>1200</v>
      </c>
      <c r="Z15" s="49"/>
    </row>
    <row r="16" spans="1:26" x14ac:dyDescent="0.3">
      <c r="A16" s="49"/>
      <c r="B16" s="226">
        <v>2.5</v>
      </c>
      <c r="C16" s="230">
        <f>+((((('Equipment Costs'!G15)+'System Variables'!$F$53)+(I16)))/(1-C$2)/(1-$C$3))</f>
        <v>7972.2486039227224</v>
      </c>
      <c r="D16" s="230">
        <f>+((((('Equipment Costs'!L15)+'System Variables'!$F$53)+(J16)))/(1-D$2)/(1-$C$3))</f>
        <v>9674.3273964616546</v>
      </c>
      <c r="E16" s="230">
        <f>+((((('Equipment Costs'!Q15)+'System Variables'!$F$53)+(K16)))/(1-E$2)/(1-$C$3))</f>
        <v>10648.334513776037</v>
      </c>
      <c r="F16" s="230">
        <f>+((((('Equipment Costs'!V15)+'System Variables'!$F$53)+(L16)))/(1-F$2)/(1-$C$3))</f>
        <v>11473.127912327785</v>
      </c>
      <c r="G16" s="230">
        <f>+((((('Equipment Costs'!AA15)+'System Variables'!$F$53)+(M16)))/(1-G$2)/(1-$C$3))</f>
        <v>12330.029144784996</v>
      </c>
      <c r="H16" s="18"/>
      <c r="I16" s="59">
        <f>'Labor Rate'!$L$7+'Pricing-GP-Margin'!U16</f>
        <v>3819.0755650402562</v>
      </c>
      <c r="J16" s="59">
        <f>'Labor Rate'!$L$7+'Pricing-GP-Margin'!V16</f>
        <v>4219.0755650402562</v>
      </c>
      <c r="K16" s="59">
        <f>'Labor Rate'!$L$7+'Pricing-GP-Margin'!W16</f>
        <v>4469.0755650402562</v>
      </c>
      <c r="L16" s="59">
        <f>'Labor Rate'!$L$7+'Pricing-GP-Margin'!X16</f>
        <v>4719.0755650402562</v>
      </c>
      <c r="M16" s="59">
        <f>'Labor Rate'!$L$7+'Pricing-GP-Margin'!Y16</f>
        <v>5019.0755650402562</v>
      </c>
      <c r="N16" s="226">
        <v>2.5</v>
      </c>
      <c r="O16" s="231">
        <f>+(I16/C16)</f>
        <v>0.47904622080664805</v>
      </c>
      <c r="P16" s="231">
        <f t="shared" ref="P16:P20" si="6">+(J16/D16)</f>
        <v>0.43611048005087832</v>
      </c>
      <c r="Q16" s="231">
        <f t="shared" ref="Q16:Q20" si="7">+(K16/E16)</f>
        <v>0.41969714223933263</v>
      </c>
      <c r="R16" s="231">
        <f t="shared" si="4"/>
        <v>0.41131551928133275</v>
      </c>
      <c r="S16" s="231">
        <f t="shared" si="5"/>
        <v>0.40706112743967693</v>
      </c>
      <c r="T16" s="18"/>
      <c r="U16" s="228">
        <v>0</v>
      </c>
      <c r="V16" s="228">
        <v>400</v>
      </c>
      <c r="W16" s="228">
        <v>650</v>
      </c>
      <c r="X16" s="228">
        <v>900</v>
      </c>
      <c r="Y16" s="228">
        <v>1200</v>
      </c>
      <c r="Z16" s="49"/>
    </row>
    <row r="17" spans="1:26" x14ac:dyDescent="0.3">
      <c r="A17" s="49"/>
      <c r="B17" s="224">
        <v>3</v>
      </c>
      <c r="C17" s="225">
        <f>+((((('Equipment Costs'!G16)+'System Variables'!$F$53)+(I17)))/(1-C$2)/(1-$C$3))</f>
        <v>8175.1516510141355</v>
      </c>
      <c r="D17" s="225">
        <f>+((((('Equipment Costs'!L16)+'System Variables'!$F$53)+(J17)))/(1-D$2)/(1-$C$3))</f>
        <v>9935.5368029566143</v>
      </c>
      <c r="E17" s="225">
        <f>+((((('Equipment Costs'!Q16)+'System Variables'!$F$53)+(K17)))/(1-E$2)/(1-$C$3))</f>
        <v>10789.261287231415</v>
      </c>
      <c r="F17" s="225">
        <f>+((((('Equipment Costs'!V16)+'System Variables'!$F$53)+(L17)))/(1-F$2)/(1-$C$3))</f>
        <v>11473.127912327785</v>
      </c>
      <c r="G17" s="225">
        <f>+((((('Equipment Costs'!AA16)+'System Variables'!$F$53)+(M17)))/(1-G$2)/(1-$C$3))</f>
        <v>12330.029144784996</v>
      </c>
      <c r="H17" s="18"/>
      <c r="I17" s="225">
        <f>'Labor Rate'!$L$7+'Pricing-GP-Margin'!U17</f>
        <v>3819.0755650402562</v>
      </c>
      <c r="J17" s="225">
        <f>'Labor Rate'!$L$7+'Pricing-GP-Margin'!V17</f>
        <v>4219.0755650402562</v>
      </c>
      <c r="K17" s="225">
        <f>'Labor Rate'!$L$7+'Pricing-GP-Margin'!W17</f>
        <v>4469.0755650402562</v>
      </c>
      <c r="L17" s="225">
        <f>'Labor Rate'!$L$7+'Pricing-GP-Margin'!X17</f>
        <v>4719.0755650402562</v>
      </c>
      <c r="M17" s="225">
        <f>'Labor Rate'!$L$7+'Pricing-GP-Margin'!Y17</f>
        <v>5019.0755650402562</v>
      </c>
      <c r="N17" s="226">
        <v>3</v>
      </c>
      <c r="O17" s="227">
        <f t="shared" ref="O17:O20" si="8">+(I17/C17)</f>
        <v>0.46715654070667867</v>
      </c>
      <c r="P17" s="227">
        <f t="shared" si="6"/>
        <v>0.4246449536359973</v>
      </c>
      <c r="Q17" s="227">
        <f t="shared" si="7"/>
        <v>0.41421515765209965</v>
      </c>
      <c r="R17" s="227">
        <f t="shared" si="4"/>
        <v>0.41131551928133275</v>
      </c>
      <c r="S17" s="227">
        <f t="shared" si="5"/>
        <v>0.40706112743967693</v>
      </c>
      <c r="T17" s="18"/>
      <c r="U17" s="228">
        <v>0</v>
      </c>
      <c r="V17" s="228">
        <v>400</v>
      </c>
      <c r="W17" s="228">
        <v>650</v>
      </c>
      <c r="X17" s="228">
        <v>900</v>
      </c>
      <c r="Y17" s="228">
        <v>1200</v>
      </c>
      <c r="Z17" s="49"/>
    </row>
    <row r="18" spans="1:26" x14ac:dyDescent="0.3">
      <c r="A18" s="49"/>
      <c r="B18" s="226">
        <v>3.5</v>
      </c>
      <c r="C18" s="230">
        <f>+((((('Equipment Costs'!G17)+'System Variables'!$F$53)+(I18)))/(1-C$2)/(1-$C$3))</f>
        <v>8292.3040055847723</v>
      </c>
      <c r="D18" s="230">
        <f>+((((('Equipment Costs'!L17)+'System Variables'!$F$53)+(J18)))/(1-D$2)/(1-$C$3))</f>
        <v>10125.951136663223</v>
      </c>
      <c r="E18" s="230">
        <f>+((((('Equipment Costs'!Q17)+'System Variables'!$F$53)+(K18)))/(1-E$2)/(1-$C$3))</f>
        <v>10854.112545812652</v>
      </c>
      <c r="F18" s="230">
        <f>+((((('Equipment Costs'!V17)+'System Variables'!$F$53)+(L18)))/(1-F$2)/(1-$C$3))</f>
        <v>11512.648380164042</v>
      </c>
      <c r="G18" s="230">
        <f>+((((('Equipment Costs'!AA17)+'System Variables'!$F$53)+(M18)))/(1-G$2)/(1-$C$3))</f>
        <v>12330.029144784996</v>
      </c>
      <c r="H18" s="18"/>
      <c r="I18" s="59">
        <f>'Labor Rate'!$L$7+'Pricing-GP-Margin'!U18</f>
        <v>3819.0755650402562</v>
      </c>
      <c r="J18" s="59">
        <f>'Labor Rate'!$L$7+'Pricing-GP-Margin'!V18</f>
        <v>4219.0755650402562</v>
      </c>
      <c r="K18" s="59">
        <f>'Labor Rate'!$L$7+'Pricing-GP-Margin'!W18</f>
        <v>4469.0755650402562</v>
      </c>
      <c r="L18" s="59">
        <f>'Labor Rate'!$L$7+'Pricing-GP-Margin'!X18</f>
        <v>4719.0755650402562</v>
      </c>
      <c r="M18" s="59">
        <f>'Labor Rate'!$L$7+'Pricing-GP-Margin'!Y18</f>
        <v>5019.0755650402562</v>
      </c>
      <c r="N18" s="226">
        <v>3.5</v>
      </c>
      <c r="O18" s="231">
        <f t="shared" si="8"/>
        <v>0.46055662726163349</v>
      </c>
      <c r="P18" s="231">
        <f t="shared" si="6"/>
        <v>0.41665968046835317</v>
      </c>
      <c r="Q18" s="231">
        <f t="shared" si="7"/>
        <v>0.41174030084701457</v>
      </c>
      <c r="R18" s="231">
        <f t="shared" si="4"/>
        <v>0.40990356078025331</v>
      </c>
      <c r="S18" s="231">
        <f t="shared" si="5"/>
        <v>0.40706112743967693</v>
      </c>
      <c r="T18" s="18"/>
      <c r="U18" s="228">
        <v>0</v>
      </c>
      <c r="V18" s="228">
        <v>400</v>
      </c>
      <c r="W18" s="228">
        <v>650</v>
      </c>
      <c r="X18" s="228">
        <v>900</v>
      </c>
      <c r="Y18" s="228">
        <v>1200</v>
      </c>
      <c r="Z18" s="49"/>
    </row>
    <row r="19" spans="1:26" x14ac:dyDescent="0.3">
      <c r="A19" s="49"/>
      <c r="B19" s="224">
        <v>4</v>
      </c>
      <c r="C19" s="225">
        <f>+((((('Equipment Costs'!G18)+'System Variables'!$F$53)+(I19)))/(1-C$2)/(1-$C$3))</f>
        <v>8593.035307523829</v>
      </c>
      <c r="D19" s="225">
        <f>+((((('Equipment Costs'!L18)+'System Variables'!$F$53)+(J19)))/(1-D$2)/(1-$C$3))</f>
        <v>10466.499848869269</v>
      </c>
      <c r="E19" s="225">
        <f>+((((('Equipment Costs'!Q18)+'System Variables'!$F$53)+(K19)))/(1-E$2)/(1-$C$3))</f>
        <v>10854.112545812652</v>
      </c>
      <c r="F19" s="225">
        <f>+((((('Equipment Costs'!V18)+'System Variables'!$F$53)+(L19)))/(1-F$2)/(1-$C$3))</f>
        <v>11512.648380164042</v>
      </c>
      <c r="G19" s="225">
        <f>+((((('Equipment Costs'!AA18)+'System Variables'!$F$53)+(M19)))/(1-G$2)/(1-$C$3))</f>
        <v>12330.029144784996</v>
      </c>
      <c r="H19" s="18"/>
      <c r="I19" s="225">
        <f>'Labor Rate'!$L$7+'Pricing-GP-Margin'!U19</f>
        <v>3819.0755650402562</v>
      </c>
      <c r="J19" s="225">
        <f>'Labor Rate'!$L$7+'Pricing-GP-Margin'!V19</f>
        <v>4219.0755650402562</v>
      </c>
      <c r="K19" s="225">
        <f>'Labor Rate'!$L$7+'Pricing-GP-Margin'!W19</f>
        <v>4469.0755650402562</v>
      </c>
      <c r="L19" s="225">
        <f>'Labor Rate'!$L$7+'Pricing-GP-Margin'!X19</f>
        <v>4719.0755650402562</v>
      </c>
      <c r="M19" s="225">
        <f>'Labor Rate'!$L$7+'Pricing-GP-Margin'!Y19</f>
        <v>5019.0755650402562</v>
      </c>
      <c r="N19" s="226">
        <v>4</v>
      </c>
      <c r="O19" s="227">
        <f t="shared" si="8"/>
        <v>0.44443848167321937</v>
      </c>
      <c r="P19" s="227">
        <f t="shared" si="6"/>
        <v>0.40310281621950789</v>
      </c>
      <c r="Q19" s="227">
        <f t="shared" si="7"/>
        <v>0.41174030084701457</v>
      </c>
      <c r="R19" s="227">
        <f t="shared" si="4"/>
        <v>0.40990356078025331</v>
      </c>
      <c r="S19" s="227">
        <f t="shared" si="5"/>
        <v>0.40706112743967693</v>
      </c>
      <c r="T19" s="18"/>
      <c r="U19" s="228">
        <v>0</v>
      </c>
      <c r="V19" s="228">
        <v>400</v>
      </c>
      <c r="W19" s="228">
        <v>650</v>
      </c>
      <c r="X19" s="228">
        <v>900</v>
      </c>
      <c r="Y19" s="228">
        <v>1200</v>
      </c>
      <c r="Z19" s="49"/>
    </row>
    <row r="20" spans="1:26" x14ac:dyDescent="0.3">
      <c r="A20" s="49"/>
      <c r="B20" s="226">
        <v>5</v>
      </c>
      <c r="C20" s="230">
        <f>+((((('Equipment Costs'!G19)+'System Variables'!$F$53)+(I20)))/(1-C$2)/(1-$C$3))</f>
        <v>8911.882952953194</v>
      </c>
      <c r="D20" s="230">
        <f>+((((('Equipment Costs'!L19)+'System Variables'!$F$53)+(J20)))/(1-D$2)/(1-$C$3))</f>
        <v>10857.093353908462</v>
      </c>
      <c r="E20" s="230">
        <f>+((((('Equipment Costs'!Q19)+'System Variables'!$F$53)+(K20)))/(1-E$2)/(1-$C$3))</f>
        <v>10854.112545812652</v>
      </c>
      <c r="F20" s="230">
        <f>+((((('Equipment Costs'!V19)+'System Variables'!$F$53)+(L20)))/(1-F$2)/(1-$C$3))</f>
        <v>11540.695163789773</v>
      </c>
      <c r="G20" s="230">
        <f>+((((('Equipment Costs'!AA19)+'System Variables'!$F$53)+(M20)))/(1-G$2)/(1-$C$3))</f>
        <v>12357.409527560116</v>
      </c>
      <c r="H20" s="18"/>
      <c r="I20" s="59">
        <f>'Labor Rate'!$L$7+'Pricing-GP-Margin'!U20</f>
        <v>3819.0755650402562</v>
      </c>
      <c r="J20" s="59">
        <f>'Labor Rate'!$L$7+'Pricing-GP-Margin'!V20</f>
        <v>4219.0755650402562</v>
      </c>
      <c r="K20" s="59">
        <f>'Labor Rate'!$L$7+'Pricing-GP-Margin'!W20</f>
        <v>4469.0755650402562</v>
      </c>
      <c r="L20" s="59">
        <f>'Labor Rate'!$L$7+'Pricing-GP-Margin'!X20</f>
        <v>4719.0755650402562</v>
      </c>
      <c r="M20" s="59">
        <f>'Labor Rate'!$L$7+'Pricing-GP-Margin'!Y20</f>
        <v>5019.0755650402562</v>
      </c>
      <c r="N20" s="226">
        <v>5</v>
      </c>
      <c r="O20" s="231">
        <f t="shared" si="8"/>
        <v>0.42853744659816273</v>
      </c>
      <c r="P20" s="231">
        <f t="shared" si="6"/>
        <v>0.38860083702986903</v>
      </c>
      <c r="Q20" s="231">
        <f t="shared" si="7"/>
        <v>0.41174030084701457</v>
      </c>
      <c r="R20" s="231">
        <f t="shared" si="4"/>
        <v>0.40890739232476098</v>
      </c>
      <c r="S20" s="231">
        <f t="shared" si="5"/>
        <v>0.40615919977779014</v>
      </c>
      <c r="T20" s="18"/>
      <c r="U20" s="228">
        <v>0</v>
      </c>
      <c r="V20" s="228">
        <v>400</v>
      </c>
      <c r="W20" s="228">
        <v>650</v>
      </c>
      <c r="X20" s="228">
        <v>900</v>
      </c>
      <c r="Y20" s="228">
        <v>1200</v>
      </c>
      <c r="Z20" s="49"/>
    </row>
    <row r="21" spans="1:26" x14ac:dyDescent="0.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spans="1:26" x14ac:dyDescent="0.3">
      <c r="A22" s="49"/>
      <c r="B22" s="49"/>
      <c r="C22" s="305" t="s">
        <v>158</v>
      </c>
      <c r="D22" s="306"/>
      <c r="E22" s="306"/>
      <c r="F22" s="306"/>
      <c r="G22" s="307"/>
      <c r="H22" s="49"/>
      <c r="I22" s="305" t="s">
        <v>159</v>
      </c>
      <c r="J22" s="306"/>
      <c r="K22" s="306"/>
      <c r="L22" s="306"/>
      <c r="M22" s="307"/>
      <c r="N22" s="49"/>
      <c r="O22" s="305" t="s">
        <v>160</v>
      </c>
      <c r="P22" s="306"/>
      <c r="Q22" s="306"/>
      <c r="R22" s="306"/>
      <c r="S22" s="307"/>
      <c r="T22" s="49"/>
      <c r="U22" s="305" t="s">
        <v>163</v>
      </c>
      <c r="V22" s="306"/>
      <c r="W22" s="306"/>
      <c r="X22" s="306"/>
      <c r="Y22" s="307"/>
      <c r="Z22" s="49"/>
    </row>
    <row r="23" spans="1:26" x14ac:dyDescent="0.3">
      <c r="A23" s="222"/>
      <c r="B23" s="223" t="s">
        <v>150</v>
      </c>
      <c r="C23" s="12" t="str">
        <f>'Equipment Costs'!$C$3</f>
        <v>The Value Line</v>
      </c>
      <c r="D23" s="12" t="str">
        <f>'Equipment Costs'!$H$3</f>
        <v>The Prestige</v>
      </c>
      <c r="E23" s="12" t="str">
        <f>'Equipment Costs'!$M$3</f>
        <v>The Supreme</v>
      </c>
      <c r="F23" s="12" t="str">
        <f>'Equipment Costs'!$R$3</f>
        <v>The Optimum</v>
      </c>
      <c r="G23" s="12" t="str">
        <f>'Equipment Costs'!$W$3</f>
        <v>The Ultimate</v>
      </c>
      <c r="H23" s="49"/>
      <c r="I23" s="12" t="str">
        <f>'Equipment Costs'!$C$3</f>
        <v>The Value Line</v>
      </c>
      <c r="J23" s="12" t="str">
        <f>'Equipment Costs'!$H$3</f>
        <v>The Prestige</v>
      </c>
      <c r="K23" s="12" t="str">
        <f>'Equipment Costs'!$M$3</f>
        <v>The Supreme</v>
      </c>
      <c r="L23" s="12" t="str">
        <f>'Equipment Costs'!$R$3</f>
        <v>The Optimum</v>
      </c>
      <c r="M23" s="12" t="str">
        <f>'Equipment Costs'!$W$3</f>
        <v>The Ultimate</v>
      </c>
      <c r="N23" s="32" t="str">
        <f>B23</f>
        <v>PACKAGE_GAS</v>
      </c>
      <c r="O23" s="12" t="str">
        <f>'Equipment Costs'!$C$3</f>
        <v>The Value Line</v>
      </c>
      <c r="P23" s="12" t="str">
        <f>'Equipment Costs'!$H$3</f>
        <v>The Prestige</v>
      </c>
      <c r="Q23" s="12" t="str">
        <f>'Equipment Costs'!$M$3</f>
        <v>The Supreme</v>
      </c>
      <c r="R23" s="12" t="str">
        <f>'Equipment Costs'!$R$3</f>
        <v>The Optimum</v>
      </c>
      <c r="S23" s="12" t="str">
        <f>'Equipment Costs'!$W$3</f>
        <v>The Ultimate</v>
      </c>
      <c r="T23" s="49"/>
      <c r="U23" s="12" t="str">
        <f>'Equipment Costs'!$C$3</f>
        <v>The Value Line</v>
      </c>
      <c r="V23" s="12" t="str">
        <f>'Equipment Costs'!$H$3</f>
        <v>The Prestige</v>
      </c>
      <c r="W23" s="12" t="str">
        <f>'Equipment Costs'!$M$3</f>
        <v>The Supreme</v>
      </c>
      <c r="X23" s="12" t="str">
        <f>'Equipment Costs'!$R$3</f>
        <v>The Optimum</v>
      </c>
      <c r="Y23" s="12" t="str">
        <f>'Equipment Costs'!$W$3</f>
        <v>The Ultimate</v>
      </c>
      <c r="Z23" s="49"/>
    </row>
    <row r="24" spans="1:26" x14ac:dyDescent="0.3">
      <c r="A24" s="49"/>
      <c r="B24" s="224">
        <v>2</v>
      </c>
      <c r="C24" s="225">
        <f>+((((('Equipment Costs'!G21)+'System Variables'!$H$53)+(I24)))/(1-C$2)/(1-$C$3))</f>
        <v>7921.2468310695367</v>
      </c>
      <c r="D24" s="225">
        <f>+((((('Equipment Costs'!L21)+'System Variables'!$H$53)+(J24)))/(1-D$2)/(1-$C$3))</f>
        <v>9160.1738690260427</v>
      </c>
      <c r="E24" s="225">
        <f>+((((('Equipment Costs'!Q21)+'System Variables'!$H$53)+(K24)))/(1-E$2)/(1-$C$3))</f>
        <v>9544.3309668652801</v>
      </c>
      <c r="F24" s="225" t="s">
        <v>162</v>
      </c>
      <c r="G24" s="225" t="s">
        <v>162</v>
      </c>
      <c r="H24" s="18"/>
      <c r="I24" s="225">
        <f>'Labor Rate'!$L$7+'Pricing-GP-Margin'!U24</f>
        <v>3819.0755650402562</v>
      </c>
      <c r="J24" s="225">
        <f>'Labor Rate'!$L$7+'Pricing-GP-Margin'!V24</f>
        <v>4219.0755650402562</v>
      </c>
      <c r="K24" s="225">
        <f>'Labor Rate'!$L$7+'Pricing-GP-Margin'!W24</f>
        <v>4469.0755650402562</v>
      </c>
      <c r="L24" s="225">
        <f>'Labor Rate'!$L$7+'Pricing-GP-Margin'!X24</f>
        <v>4719.0755650402562</v>
      </c>
      <c r="M24" s="225">
        <f>'Labor Rate'!$L$7+'Pricing-GP-Margin'!Y24</f>
        <v>5019.0755650402562</v>
      </c>
      <c r="N24" s="226">
        <v>2</v>
      </c>
      <c r="O24" s="227">
        <f>+(I24/C24)</f>
        <v>0.48213060980004835</v>
      </c>
      <c r="P24" s="227">
        <f>+(J24/D24)</f>
        <v>0.46058902651471728</v>
      </c>
      <c r="Q24" s="227">
        <f>+(K24/E24)</f>
        <v>0.46824398489065283</v>
      </c>
      <c r="R24" s="227" t="e">
        <f t="shared" ref="R24:R29" si="9">+(L24/F24)</f>
        <v>#VALUE!</v>
      </c>
      <c r="S24" s="227" t="e">
        <f t="shared" ref="S24:S29" si="10">+(M24/G24)</f>
        <v>#VALUE!</v>
      </c>
      <c r="T24" s="18"/>
      <c r="U24" s="228">
        <v>0</v>
      </c>
      <c r="V24" s="228">
        <v>400</v>
      </c>
      <c r="W24" s="228">
        <v>650</v>
      </c>
      <c r="X24" s="228">
        <v>900</v>
      </c>
      <c r="Y24" s="228">
        <v>1200</v>
      </c>
      <c r="Z24" s="49"/>
    </row>
    <row r="25" spans="1:26" x14ac:dyDescent="0.3">
      <c r="A25" s="49"/>
      <c r="B25" s="226">
        <v>2.5</v>
      </c>
      <c r="C25" s="230">
        <f>+((((('Equipment Costs'!G22)+'System Variables'!$H$53)+(I25)))/(1-C$2)/(1-$C$3))</f>
        <v>8033.5681607094266</v>
      </c>
      <c r="D25" s="230">
        <f>+((((('Equipment Costs'!L22)+'System Variables'!$H$53)+(J25)))/(1-D$2)/(1-$C$3))</f>
        <v>9295.6609910865136</v>
      </c>
      <c r="E25" s="230">
        <f>+((((('Equipment Costs'!Q22)+'System Variables'!$H$53)+(K25)))/(1-E$2)/(1-$C$3))</f>
        <v>9544.3309668652801</v>
      </c>
      <c r="F25" s="230" t="s">
        <v>162</v>
      </c>
      <c r="G25" s="230" t="s">
        <v>162</v>
      </c>
      <c r="H25" s="18"/>
      <c r="I25" s="59">
        <f>'Labor Rate'!$L$7+'Pricing-GP-Margin'!U25</f>
        <v>3819.0755650402562</v>
      </c>
      <c r="J25" s="59">
        <f>'Labor Rate'!$L$7+'Pricing-GP-Margin'!V25</f>
        <v>4219.0755650402562</v>
      </c>
      <c r="K25" s="59">
        <f>'Labor Rate'!$L$7+'Pricing-GP-Margin'!W25</f>
        <v>4469.0755650402562</v>
      </c>
      <c r="L25" s="59">
        <f>'Labor Rate'!$L$7+'Pricing-GP-Margin'!X25</f>
        <v>4719.0755650402562</v>
      </c>
      <c r="M25" s="59">
        <f>'Labor Rate'!$L$7+'Pricing-GP-Margin'!Y25</f>
        <v>5019.0755650402562</v>
      </c>
      <c r="N25" s="226">
        <v>2.5</v>
      </c>
      <c r="O25" s="231">
        <f>+(I25/C25)</f>
        <v>0.47538970089512528</v>
      </c>
      <c r="P25" s="231">
        <f t="shared" ref="P25:P29" si="11">+(J25/D25)</f>
        <v>0.45387579958927848</v>
      </c>
      <c r="Q25" s="231">
        <f t="shared" ref="Q25:Q29" si="12">+(K25/E25)</f>
        <v>0.46824398489065283</v>
      </c>
      <c r="R25" s="231" t="e">
        <f t="shared" si="9"/>
        <v>#VALUE!</v>
      </c>
      <c r="S25" s="231" t="e">
        <f t="shared" si="10"/>
        <v>#VALUE!</v>
      </c>
      <c r="T25" s="18"/>
      <c r="U25" s="228">
        <v>0</v>
      </c>
      <c r="V25" s="228">
        <v>400</v>
      </c>
      <c r="W25" s="228">
        <v>650</v>
      </c>
      <c r="X25" s="228">
        <v>900</v>
      </c>
      <c r="Y25" s="228">
        <v>1200</v>
      </c>
      <c r="Z25" s="49"/>
    </row>
    <row r="26" spans="1:26" x14ac:dyDescent="0.3">
      <c r="A26" s="49"/>
      <c r="B26" s="224">
        <v>3</v>
      </c>
      <c r="C26" s="225">
        <f>+((((('Equipment Costs'!G23)+'System Variables'!$H$53)+(I26)))/(1-C$2)/(1-$C$3))</f>
        <v>8080.6706537842183</v>
      </c>
      <c r="D26" s="225">
        <f>+((((('Equipment Costs'!L23)+'System Variables'!$H$53)+(J26)))/(1-D$2)/(1-$C$3))</f>
        <v>9382.3239250170864</v>
      </c>
      <c r="E26" s="225">
        <f>+((((('Equipment Costs'!Q23)+'System Variables'!$H$53)+(K26)))/(1-E$2)/(1-$C$3))</f>
        <v>9544.3309668652801</v>
      </c>
      <c r="F26" s="225">
        <f>+((((('Equipment Costs'!V23)+'System Variables'!$H$53)+(L26)))/(1-F$2)/(1-$C$3))</f>
        <v>10252.801479579248</v>
      </c>
      <c r="G26" s="225" t="s">
        <v>162</v>
      </c>
      <c r="H26" s="18"/>
      <c r="I26" s="225">
        <f>'Labor Rate'!$L$7+'Pricing-GP-Margin'!U26</f>
        <v>3819.0755650402562</v>
      </c>
      <c r="J26" s="225">
        <f>'Labor Rate'!$L$7+'Pricing-GP-Margin'!V26</f>
        <v>4219.0755650402562</v>
      </c>
      <c r="K26" s="225">
        <f>'Labor Rate'!$L$7+'Pricing-GP-Margin'!W26</f>
        <v>4469.0755650402562</v>
      </c>
      <c r="L26" s="225">
        <f>'Labor Rate'!$L$7+'Pricing-GP-Margin'!X26</f>
        <v>4719.0755650402562</v>
      </c>
      <c r="M26" s="225">
        <f>'Labor Rate'!$L$7+'Pricing-GP-Margin'!Y26</f>
        <v>5019.0755650402562</v>
      </c>
      <c r="N26" s="226">
        <v>3</v>
      </c>
      <c r="O26" s="227">
        <f t="shared" ref="O26:O29" si="13">+(I26/C26)</f>
        <v>0.47261863880713467</v>
      </c>
      <c r="P26" s="227">
        <f t="shared" si="11"/>
        <v>0.4496834258504428</v>
      </c>
      <c r="Q26" s="227">
        <f t="shared" si="12"/>
        <v>0.46824398489065283</v>
      </c>
      <c r="R26" s="227">
        <f t="shared" si="9"/>
        <v>0.46027181687262286</v>
      </c>
      <c r="S26" s="227" t="e">
        <f t="shared" si="10"/>
        <v>#VALUE!</v>
      </c>
      <c r="T26" s="18"/>
      <c r="U26" s="228">
        <v>0</v>
      </c>
      <c r="V26" s="228">
        <v>400</v>
      </c>
      <c r="W26" s="228">
        <v>650</v>
      </c>
      <c r="X26" s="228">
        <v>900</v>
      </c>
      <c r="Y26" s="228">
        <v>1200</v>
      </c>
      <c r="Z26" s="49"/>
    </row>
    <row r="27" spans="1:26" x14ac:dyDescent="0.3">
      <c r="A27" s="49"/>
      <c r="B27" s="226">
        <v>3.5</v>
      </c>
      <c r="C27" s="230">
        <f>+((((('Equipment Costs'!G24)+'System Variables'!$H$53)+(I27)))/(1-C$2)/(1-$C$3))</f>
        <v>8205.0695457509773</v>
      </c>
      <c r="D27" s="230">
        <f>+((((('Equipment Costs'!L24)+'System Variables'!$H$53)+(J27)))/(1-D$2)/(1-$C$3))</f>
        <v>9482.4135106833783</v>
      </c>
      <c r="E27" s="230">
        <f>+((((('Equipment Costs'!Q24)+'System Variables'!$H$53)+(K27)))/(1-E$2)/(1-$C$3))</f>
        <v>9544.3309668652801</v>
      </c>
      <c r="F27" s="230" t="s">
        <v>162</v>
      </c>
      <c r="G27" s="230" t="s">
        <v>162</v>
      </c>
      <c r="H27" s="18"/>
      <c r="I27" s="59">
        <f>'Labor Rate'!$L$7+'Pricing-GP-Margin'!U27</f>
        <v>3819.0755650402562</v>
      </c>
      <c r="J27" s="59">
        <f>'Labor Rate'!$L$7+'Pricing-GP-Margin'!V27</f>
        <v>4219.0755650402562</v>
      </c>
      <c r="K27" s="59">
        <f>'Labor Rate'!$L$7+'Pricing-GP-Margin'!W27</f>
        <v>4469.0755650402562</v>
      </c>
      <c r="L27" s="59">
        <f>'Labor Rate'!$L$7+'Pricing-GP-Margin'!X27</f>
        <v>4719.0755650402562</v>
      </c>
      <c r="M27" s="59">
        <f>'Labor Rate'!$L$7+'Pricing-GP-Margin'!Y27</f>
        <v>5019.0755650402562</v>
      </c>
      <c r="N27" s="226">
        <v>3.5</v>
      </c>
      <c r="O27" s="231">
        <f t="shared" si="13"/>
        <v>0.46545316206588122</v>
      </c>
      <c r="P27" s="231">
        <f t="shared" si="11"/>
        <v>0.44493688872425013</v>
      </c>
      <c r="Q27" s="231">
        <f t="shared" si="12"/>
        <v>0.46824398489065283</v>
      </c>
      <c r="R27" s="231" t="e">
        <f t="shared" si="9"/>
        <v>#VALUE!</v>
      </c>
      <c r="S27" s="231" t="e">
        <f t="shared" si="10"/>
        <v>#VALUE!</v>
      </c>
      <c r="T27" s="18"/>
      <c r="U27" s="228">
        <v>0</v>
      </c>
      <c r="V27" s="228">
        <v>400</v>
      </c>
      <c r="W27" s="228">
        <v>650</v>
      </c>
      <c r="X27" s="228">
        <v>900</v>
      </c>
      <c r="Y27" s="228">
        <v>1200</v>
      </c>
      <c r="Z27" s="49"/>
    </row>
    <row r="28" spans="1:26" x14ac:dyDescent="0.3">
      <c r="A28" s="49"/>
      <c r="B28" s="224">
        <v>4</v>
      </c>
      <c r="C28" s="225">
        <f>+((((('Equipment Costs'!G25)+'System Variables'!$H$53)+(I28)))/(1-C$2)/(1-$C$3))</f>
        <v>8444.2052798229997</v>
      </c>
      <c r="D28" s="225">
        <f>+((((('Equipment Costs'!L25)+'System Variables'!$H$53)+(J28)))/(1-D$2)/(1-$C$3))</f>
        <v>9677.7102632029746</v>
      </c>
      <c r="E28" s="225">
        <f>+((((('Equipment Costs'!Q25)+'System Variables'!$H$53)+(K28)))/(1-E$2)/(1-$C$3))</f>
        <v>9544.3309668652801</v>
      </c>
      <c r="F28" s="225">
        <f>+((((('Equipment Costs'!V25)+'System Variables'!$H$53)+(L28)))/(1-F$2)/(1-$C$3))</f>
        <v>10252.801479579248</v>
      </c>
      <c r="G28" s="225" t="s">
        <v>162</v>
      </c>
      <c r="H28" s="18"/>
      <c r="I28" s="225">
        <f>'Labor Rate'!$L$7+'Pricing-GP-Margin'!U28</f>
        <v>3819.0755650402562</v>
      </c>
      <c r="J28" s="225">
        <f>'Labor Rate'!$L$7+'Pricing-GP-Margin'!V28</f>
        <v>4219.0755650402562</v>
      </c>
      <c r="K28" s="225">
        <f>'Labor Rate'!$L$7+'Pricing-GP-Margin'!W28</f>
        <v>4469.0755650402562</v>
      </c>
      <c r="L28" s="225">
        <f>'Labor Rate'!$L$7+'Pricing-GP-Margin'!X28</f>
        <v>4719.0755650402562</v>
      </c>
      <c r="M28" s="225">
        <f>'Labor Rate'!$L$7+'Pricing-GP-Margin'!Y28</f>
        <v>5019.0755650402562</v>
      </c>
      <c r="N28" s="226">
        <v>4</v>
      </c>
      <c r="O28" s="227">
        <f t="shared" si="13"/>
        <v>0.4522717577894208</v>
      </c>
      <c r="P28" s="227">
        <f t="shared" si="11"/>
        <v>0.43595803659076415</v>
      </c>
      <c r="Q28" s="227">
        <f t="shared" si="12"/>
        <v>0.46824398489065283</v>
      </c>
      <c r="R28" s="227">
        <f t="shared" si="9"/>
        <v>0.46027181687262286</v>
      </c>
      <c r="S28" s="227" t="e">
        <f t="shared" si="10"/>
        <v>#VALUE!</v>
      </c>
      <c r="T28" s="18"/>
      <c r="U28" s="228">
        <v>0</v>
      </c>
      <c r="V28" s="228">
        <v>400</v>
      </c>
      <c r="W28" s="228">
        <v>650</v>
      </c>
      <c r="X28" s="228">
        <v>900</v>
      </c>
      <c r="Y28" s="228">
        <v>1200</v>
      </c>
      <c r="Z28" s="49"/>
    </row>
    <row r="29" spans="1:26" x14ac:dyDescent="0.3">
      <c r="A29" s="49"/>
      <c r="B29" s="226">
        <v>5</v>
      </c>
      <c r="C29" s="230">
        <f>+((((('Equipment Costs'!G26)+'System Variables'!$H$53)+(I29)))/(1-C$2)/(1-$C$3))</f>
        <v>8586.7205152800634</v>
      </c>
      <c r="D29" s="230">
        <f>+((((('Equipment Costs'!L26)+'System Variables'!$H$53)+(J29)))/(1-D$2)/(1-$C$3))</f>
        <v>10001.170509563557</v>
      </c>
      <c r="E29" s="230">
        <f>+((((('Equipment Costs'!Q26)+'System Variables'!$H$53)+(K29)))/(1-E$2)/(1-$C$3))</f>
        <v>9544.3309668652801</v>
      </c>
      <c r="F29" s="230">
        <f>+((((('Equipment Costs'!V26)+'System Variables'!$H$53)+(L29)))/(1-F$2)/(1-$C$3))</f>
        <v>10252.801479579248</v>
      </c>
      <c r="G29" s="230" t="s">
        <v>162</v>
      </c>
      <c r="H29" s="18"/>
      <c r="I29" s="59">
        <f>'Labor Rate'!$L$7+'Pricing-GP-Margin'!U29</f>
        <v>3819.0755650402562</v>
      </c>
      <c r="J29" s="59">
        <f>'Labor Rate'!$L$7+'Pricing-GP-Margin'!V29</f>
        <v>4219.0755650402562</v>
      </c>
      <c r="K29" s="59">
        <f>'Labor Rate'!$L$7+'Pricing-GP-Margin'!W29</f>
        <v>4469.0755650402562</v>
      </c>
      <c r="L29" s="59">
        <f>'Labor Rate'!$L$7+'Pricing-GP-Margin'!X29</f>
        <v>4719.0755650402562</v>
      </c>
      <c r="M29" s="59">
        <f>'Labor Rate'!$L$7+'Pricing-GP-Margin'!Y29</f>
        <v>5019.0755650402562</v>
      </c>
      <c r="N29" s="226">
        <v>5</v>
      </c>
      <c r="O29" s="231">
        <f t="shared" si="13"/>
        <v>0.44476532783898276</v>
      </c>
      <c r="P29" s="231">
        <f t="shared" si="11"/>
        <v>0.42185817760089095</v>
      </c>
      <c r="Q29" s="231">
        <f t="shared" si="12"/>
        <v>0.46824398489065283</v>
      </c>
      <c r="R29" s="231">
        <f t="shared" si="9"/>
        <v>0.46027181687262286</v>
      </c>
      <c r="S29" s="231" t="e">
        <f t="shared" si="10"/>
        <v>#VALUE!</v>
      </c>
      <c r="T29" s="18"/>
      <c r="U29" s="228">
        <v>0</v>
      </c>
      <c r="V29" s="228">
        <v>400</v>
      </c>
      <c r="W29" s="228">
        <v>650</v>
      </c>
      <c r="X29" s="228">
        <v>900</v>
      </c>
      <c r="Y29" s="228">
        <v>1200</v>
      </c>
      <c r="Z29" s="49"/>
    </row>
    <row r="30" spans="1:26" x14ac:dyDescent="0.3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</row>
    <row r="31" spans="1:26" x14ac:dyDescent="0.3">
      <c r="A31" s="49"/>
      <c r="B31" s="49"/>
      <c r="C31" s="305" t="s">
        <v>158</v>
      </c>
      <c r="D31" s="306"/>
      <c r="E31" s="306"/>
      <c r="F31" s="306"/>
      <c r="G31" s="307"/>
      <c r="H31" s="49"/>
      <c r="I31" s="305" t="s">
        <v>159</v>
      </c>
      <c r="J31" s="306"/>
      <c r="K31" s="306"/>
      <c r="L31" s="306"/>
      <c r="M31" s="307"/>
      <c r="N31" s="49"/>
      <c r="O31" s="305" t="s">
        <v>160</v>
      </c>
      <c r="P31" s="306"/>
      <c r="Q31" s="306"/>
      <c r="R31" s="306"/>
      <c r="S31" s="307"/>
      <c r="T31" s="49"/>
      <c r="U31" s="305" t="s">
        <v>163</v>
      </c>
      <c r="V31" s="306"/>
      <c r="W31" s="306"/>
      <c r="X31" s="306"/>
      <c r="Y31" s="307"/>
      <c r="Z31" s="49"/>
    </row>
    <row r="32" spans="1:26" x14ac:dyDescent="0.3">
      <c r="A32" s="222"/>
      <c r="B32" s="223" t="s">
        <v>151</v>
      </c>
      <c r="C32" s="12" t="str">
        <f>'Equipment Costs'!$C$3</f>
        <v>The Value Line</v>
      </c>
      <c r="D32" s="12" t="str">
        <f>'Equipment Costs'!$H$3</f>
        <v>The Prestige</v>
      </c>
      <c r="E32" s="12" t="str">
        <f>'Equipment Costs'!$M$3</f>
        <v>The Supreme</v>
      </c>
      <c r="F32" s="12" t="str">
        <f>'Equipment Costs'!$R$3</f>
        <v>The Optimum</v>
      </c>
      <c r="G32" s="12" t="str">
        <f>'Equipment Costs'!$W$3</f>
        <v>The Ultimate</v>
      </c>
      <c r="H32" s="49"/>
      <c r="I32" s="12" t="str">
        <f>'Equipment Costs'!$C$3</f>
        <v>The Value Line</v>
      </c>
      <c r="J32" s="12" t="str">
        <f>'Equipment Costs'!$H$3</f>
        <v>The Prestige</v>
      </c>
      <c r="K32" s="12" t="str">
        <f>'Equipment Costs'!$M$3</f>
        <v>The Supreme</v>
      </c>
      <c r="L32" s="12" t="str">
        <f>'Equipment Costs'!$R$3</f>
        <v>The Optimum</v>
      </c>
      <c r="M32" s="12" t="str">
        <f>'Equipment Costs'!$W$3</f>
        <v>The Ultimate</v>
      </c>
      <c r="N32" s="12" t="str">
        <f>B32</f>
        <v>PACKAGE_HP</v>
      </c>
      <c r="O32" s="12" t="str">
        <f>'Equipment Costs'!$C$3</f>
        <v>The Value Line</v>
      </c>
      <c r="P32" s="12" t="str">
        <f>'Equipment Costs'!$H$3</f>
        <v>The Prestige</v>
      </c>
      <c r="Q32" s="12" t="str">
        <f>'Equipment Costs'!$M$3</f>
        <v>The Supreme</v>
      </c>
      <c r="R32" s="12" t="str">
        <f>'Equipment Costs'!$R$3</f>
        <v>The Optimum</v>
      </c>
      <c r="S32" s="12" t="str">
        <f>'Equipment Costs'!$W$3</f>
        <v>The Ultimate</v>
      </c>
      <c r="T32" s="49"/>
      <c r="U32" s="12" t="str">
        <f>'Equipment Costs'!$C$3</f>
        <v>The Value Line</v>
      </c>
      <c r="V32" s="12" t="str">
        <f>'Equipment Costs'!$H$3</f>
        <v>The Prestige</v>
      </c>
      <c r="W32" s="12" t="str">
        <f>'Equipment Costs'!$M$3</f>
        <v>The Supreme</v>
      </c>
      <c r="X32" s="12" t="str">
        <f>'Equipment Costs'!$R$3</f>
        <v>The Optimum</v>
      </c>
      <c r="Y32" s="12" t="str">
        <f>'Equipment Costs'!$W$3</f>
        <v>The Ultimate</v>
      </c>
      <c r="Z32" s="49"/>
    </row>
    <row r="33" spans="1:26" x14ac:dyDescent="0.3">
      <c r="A33" s="49"/>
      <c r="B33" s="224">
        <v>2</v>
      </c>
      <c r="C33" s="225">
        <f>+((((('Equipment Costs'!G28)+'System Variables'!$J$53)+(I33)))/(1-C$2)/(1-$C$3))</f>
        <v>7854.8202382717527</v>
      </c>
      <c r="D33" s="225">
        <f>+((((('Equipment Costs'!L28)+'System Variables'!$J$53)+(J33)))/(1-D$2)/(1-$C$3))</f>
        <v>9089.37879623769</v>
      </c>
      <c r="E33" s="225">
        <f>+((((('Equipment Costs'!Q28)+'System Variables'!$J$53)+(K33)))/(1-E$2)/(1-$C$3))</f>
        <v>9606.6879462703146</v>
      </c>
      <c r="F33" s="225" t="s">
        <v>162</v>
      </c>
      <c r="G33" s="225" t="s">
        <v>162</v>
      </c>
      <c r="H33" s="18"/>
      <c r="I33" s="225">
        <f>'Labor Rate'!$L$7+'Pricing-GP-Margin'!U33</f>
        <v>3819.0755650402562</v>
      </c>
      <c r="J33" s="225">
        <f>'Labor Rate'!$L$7+'Pricing-GP-Margin'!V33</f>
        <v>4219.0755650402562</v>
      </c>
      <c r="K33" s="225">
        <f>'Labor Rate'!$L$7+'Pricing-GP-Margin'!W33</f>
        <v>4469.0755650402562</v>
      </c>
      <c r="L33" s="225">
        <f>'Labor Rate'!$L$7+'Pricing-GP-Margin'!X33</f>
        <v>4719.0755650402562</v>
      </c>
      <c r="M33" s="225">
        <f>'Labor Rate'!$L$7+'Pricing-GP-Margin'!Y33</f>
        <v>5019.0755650402562</v>
      </c>
      <c r="N33" s="226">
        <v>2</v>
      </c>
      <c r="O33" s="227">
        <f>+(I33/C33)</f>
        <v>0.48620788881102944</v>
      </c>
      <c r="P33" s="227">
        <f>+(J33/D33)</f>
        <v>0.46417644809639047</v>
      </c>
      <c r="Q33" s="227">
        <f>+(K33/E33)</f>
        <v>0.46520461474709635</v>
      </c>
      <c r="R33" s="227" t="e">
        <f t="shared" ref="R33:R38" si="14">+(L33/F33)</f>
        <v>#VALUE!</v>
      </c>
      <c r="S33" s="227" t="e">
        <f t="shared" ref="S33:S38" si="15">+(M33/G33)</f>
        <v>#VALUE!</v>
      </c>
      <c r="T33" s="18"/>
      <c r="U33" s="77">
        <v>0</v>
      </c>
      <c r="V33" s="77">
        <v>400</v>
      </c>
      <c r="W33" s="77">
        <v>650</v>
      </c>
      <c r="X33" s="77">
        <v>900</v>
      </c>
      <c r="Y33" s="77">
        <v>1200</v>
      </c>
      <c r="Z33" s="49"/>
    </row>
    <row r="34" spans="1:26" x14ac:dyDescent="0.3">
      <c r="A34" s="49"/>
      <c r="B34" s="226">
        <v>2.5</v>
      </c>
      <c r="C34" s="230">
        <f>+((((('Equipment Costs'!G29)+'System Variables'!$J$53)+(I34)))/(1-C$2)/(1-$C$3))</f>
        <v>7949.025224421338</v>
      </c>
      <c r="D34" s="230">
        <f>+((((('Equipment Costs'!L29)+'System Variables'!$J$53)+(J34)))/(1-D$2)/(1-$C$3))</f>
        <v>9177.2623348715097</v>
      </c>
      <c r="E34" s="230">
        <f>+((((('Equipment Costs'!Q29)+'System Variables'!$J$53)+(K34)))/(1-E$2)/(1-$C$3))</f>
        <v>9606.6879462703146</v>
      </c>
      <c r="F34" s="230" t="s">
        <v>162</v>
      </c>
      <c r="G34" s="59" t="s">
        <v>162</v>
      </c>
      <c r="H34" s="18"/>
      <c r="I34" s="59">
        <f>'Labor Rate'!$L$7+'Pricing-GP-Margin'!U34</f>
        <v>3819.0755650402562</v>
      </c>
      <c r="J34" s="59">
        <f>'Labor Rate'!$L$7+'Pricing-GP-Margin'!V34</f>
        <v>4219.0755650402562</v>
      </c>
      <c r="K34" s="59">
        <f>'Labor Rate'!$L$7+'Pricing-GP-Margin'!W34</f>
        <v>4469.0755650402562</v>
      </c>
      <c r="L34" s="59">
        <f>'Labor Rate'!$L$7+'Pricing-GP-Margin'!X34</f>
        <v>4719.0755650402562</v>
      </c>
      <c r="M34" s="59">
        <f>'Labor Rate'!$L$7+'Pricing-GP-Margin'!Y34</f>
        <v>5019.0755650402562</v>
      </c>
      <c r="N34" s="226">
        <v>2.5</v>
      </c>
      <c r="O34" s="231">
        <f>+(I34/C34)</f>
        <v>0.48044577255927273</v>
      </c>
      <c r="P34" s="231">
        <f t="shared" ref="P34:P38" si="16">+(J34/D34)</f>
        <v>0.45973138950258929</v>
      </c>
      <c r="Q34" s="231">
        <f t="shared" ref="Q34:Q38" si="17">+(K34/E34)</f>
        <v>0.46520461474709635</v>
      </c>
      <c r="R34" s="231" t="e">
        <f t="shared" si="14"/>
        <v>#VALUE!</v>
      </c>
      <c r="S34" s="231" t="e">
        <f t="shared" si="15"/>
        <v>#VALUE!</v>
      </c>
      <c r="T34" s="18"/>
      <c r="U34" s="77">
        <v>0</v>
      </c>
      <c r="V34" s="77">
        <v>400</v>
      </c>
      <c r="W34" s="77">
        <v>650</v>
      </c>
      <c r="X34" s="77">
        <v>900</v>
      </c>
      <c r="Y34" s="77">
        <v>1200</v>
      </c>
      <c r="Z34" s="49"/>
    </row>
    <row r="35" spans="1:26" x14ac:dyDescent="0.3">
      <c r="A35" s="49"/>
      <c r="B35" s="224">
        <v>3</v>
      </c>
      <c r="C35" s="225">
        <f>+((((('Equipment Costs'!G30)+'System Variables'!$J$53)+(I35)))/(1-C$2)/(1-$C$3))</f>
        <v>8074.6318726207837</v>
      </c>
      <c r="D35" s="225">
        <f>+((((('Equipment Costs'!L30)+'System Variables'!$J$53)+(J35)))/(1-D$2)/(1-$C$3))</f>
        <v>9354.2500168423958</v>
      </c>
      <c r="E35" s="225">
        <f>+((((('Equipment Costs'!Q30)+'System Variables'!$J$53)+(K35)))/(1-E$2)/(1-$C$3))</f>
        <v>9606.6879462703146</v>
      </c>
      <c r="F35" s="225">
        <f>+((((('Equipment Costs'!V30)+'System Variables'!$J$53)+(L35)))/(1-F$2)/(1-$C$3))</f>
        <v>10252.801479579248</v>
      </c>
      <c r="G35" s="225" t="s">
        <v>162</v>
      </c>
      <c r="H35" s="18"/>
      <c r="I35" s="225">
        <f>'Labor Rate'!$L$7+'Pricing-GP-Margin'!U35</f>
        <v>3819.0755650402562</v>
      </c>
      <c r="J35" s="225">
        <f>'Labor Rate'!$L$7+'Pricing-GP-Margin'!V35</f>
        <v>4219.0755650402562</v>
      </c>
      <c r="K35" s="225">
        <f>'Labor Rate'!$L$7+'Pricing-GP-Margin'!W35</f>
        <v>4469.0755650402562</v>
      </c>
      <c r="L35" s="225">
        <f>'Labor Rate'!$L$7+'Pricing-GP-Margin'!X35</f>
        <v>4719.0755650402562</v>
      </c>
      <c r="M35" s="225">
        <f>'Labor Rate'!$L$7+'Pricing-GP-Margin'!Y35</f>
        <v>5019.0755650402562</v>
      </c>
      <c r="N35" s="226">
        <v>3</v>
      </c>
      <c r="O35" s="227">
        <f t="shared" ref="O35:O38" si="18">+(I35/C35)</f>
        <v>0.47297209647288829</v>
      </c>
      <c r="P35" s="227">
        <f t="shared" si="16"/>
        <v>0.45103301252839934</v>
      </c>
      <c r="Q35" s="227">
        <f t="shared" si="17"/>
        <v>0.46520461474709635</v>
      </c>
      <c r="R35" s="227">
        <f t="shared" si="14"/>
        <v>0.46027181687262286</v>
      </c>
      <c r="S35" s="227" t="e">
        <f t="shared" si="15"/>
        <v>#VALUE!</v>
      </c>
      <c r="T35" s="18"/>
      <c r="U35" s="77">
        <v>0</v>
      </c>
      <c r="V35" s="77">
        <v>400</v>
      </c>
      <c r="W35" s="77">
        <v>650</v>
      </c>
      <c r="X35" s="77">
        <v>900</v>
      </c>
      <c r="Y35" s="77">
        <v>1200</v>
      </c>
      <c r="Z35" s="49"/>
    </row>
    <row r="36" spans="1:26" x14ac:dyDescent="0.3">
      <c r="A36" s="49"/>
      <c r="B36" s="226">
        <v>3.5</v>
      </c>
      <c r="C36" s="230">
        <f>+((((('Equipment Costs'!G31)+'System Variables'!$J$53)+(I36)))/(1-C$2)/(1-$C$3))</f>
        <v>8243.7177451969601</v>
      </c>
      <c r="D36" s="230">
        <f>+((((('Equipment Costs'!L31)+'System Variables'!$J$53)+(J36)))/(1-D$2)/(1-$C$3))</f>
        <v>9503.1637906385877</v>
      </c>
      <c r="E36" s="230">
        <f>+((((('Equipment Costs'!Q31)+'System Variables'!$J$53)+(K36)))/(1-E$2)/(1-$C$3))</f>
        <v>9606.6879462703146</v>
      </c>
      <c r="F36" s="230" t="s">
        <v>162</v>
      </c>
      <c r="G36" s="59" t="s">
        <v>162</v>
      </c>
      <c r="H36" s="18"/>
      <c r="I36" s="59">
        <f>'Labor Rate'!$L$7+'Pricing-GP-Margin'!U36</f>
        <v>3819.0755650402562</v>
      </c>
      <c r="J36" s="59">
        <f>'Labor Rate'!$L$7+'Pricing-GP-Margin'!V36</f>
        <v>4219.0755650402562</v>
      </c>
      <c r="K36" s="59">
        <f>'Labor Rate'!$L$7+'Pricing-GP-Margin'!W36</f>
        <v>4469.0755650402562</v>
      </c>
      <c r="L36" s="59">
        <f>'Labor Rate'!$L$7+'Pricing-GP-Margin'!X36</f>
        <v>4719.0755650402562</v>
      </c>
      <c r="M36" s="59">
        <f>'Labor Rate'!$L$7+'Pricing-GP-Margin'!Y36</f>
        <v>5019.0755650402562</v>
      </c>
      <c r="N36" s="226">
        <v>3.5</v>
      </c>
      <c r="O36" s="231">
        <f t="shared" si="18"/>
        <v>0.46327102444347579</v>
      </c>
      <c r="P36" s="231">
        <f t="shared" si="16"/>
        <v>0.44396536332420145</v>
      </c>
      <c r="Q36" s="231">
        <f t="shared" si="17"/>
        <v>0.46520461474709635</v>
      </c>
      <c r="R36" s="231" t="e">
        <f t="shared" si="14"/>
        <v>#VALUE!</v>
      </c>
      <c r="S36" s="231" t="e">
        <f t="shared" si="15"/>
        <v>#VALUE!</v>
      </c>
      <c r="T36" s="18"/>
      <c r="U36" s="77">
        <v>0</v>
      </c>
      <c r="V36" s="77">
        <v>400</v>
      </c>
      <c r="W36" s="77">
        <v>650</v>
      </c>
      <c r="X36" s="77">
        <v>900</v>
      </c>
      <c r="Y36" s="77">
        <v>1200</v>
      </c>
      <c r="Z36" s="49"/>
    </row>
    <row r="37" spans="1:26" x14ac:dyDescent="0.3">
      <c r="A37" s="49"/>
      <c r="B37" s="224">
        <v>4</v>
      </c>
      <c r="C37" s="225">
        <f>+((((('Equipment Costs'!G32)+'System Variables'!$J$53)+(I37)))/(1-C$2)/(1-$C$3))</f>
        <v>8430.919961263442</v>
      </c>
      <c r="D37" s="225">
        <f>+((((('Equipment Costs'!L32)+'System Variables'!$J$53)+(J37)))/(1-D$2)/(1-$C$3))</f>
        <v>9830.2858511089107</v>
      </c>
      <c r="E37" s="225">
        <f>+((((('Equipment Costs'!Q32)+'System Variables'!$J$53)+(K37)))/(1-E$2)/(1-$C$3))</f>
        <v>9606.6879462703146</v>
      </c>
      <c r="F37" s="225">
        <f>+((((('Equipment Costs'!V32)+'System Variables'!$J$53)+(L37)))/(1-F$2)/(1-$C$3))</f>
        <v>10252.801479579248</v>
      </c>
      <c r="G37" s="225" t="s">
        <v>162</v>
      </c>
      <c r="H37" s="18"/>
      <c r="I37" s="225">
        <f>'Labor Rate'!$L$7+'Pricing-GP-Margin'!U37</f>
        <v>3819.0755650402562</v>
      </c>
      <c r="J37" s="225">
        <f>'Labor Rate'!$L$7+'Pricing-GP-Margin'!V37</f>
        <v>4219.0755650402562</v>
      </c>
      <c r="K37" s="225">
        <f>'Labor Rate'!$L$7+'Pricing-GP-Margin'!W37</f>
        <v>4469.0755650402562</v>
      </c>
      <c r="L37" s="225">
        <f>'Labor Rate'!$L$7+'Pricing-GP-Margin'!X37</f>
        <v>4719.0755650402562</v>
      </c>
      <c r="M37" s="225">
        <f>'Labor Rate'!$L$7+'Pricing-GP-Margin'!Y37</f>
        <v>5019.0755650402562</v>
      </c>
      <c r="N37" s="226">
        <v>4</v>
      </c>
      <c r="O37" s="227">
        <f t="shared" si="18"/>
        <v>0.45298444091360307</v>
      </c>
      <c r="P37" s="227">
        <f t="shared" si="16"/>
        <v>0.4291915442687072</v>
      </c>
      <c r="Q37" s="227">
        <f t="shared" si="17"/>
        <v>0.46520461474709635</v>
      </c>
      <c r="R37" s="227">
        <f t="shared" si="14"/>
        <v>0.46027181687262286</v>
      </c>
      <c r="S37" s="227" t="e">
        <f t="shared" si="15"/>
        <v>#VALUE!</v>
      </c>
      <c r="T37" s="18"/>
      <c r="U37" s="77">
        <v>0</v>
      </c>
      <c r="V37" s="77">
        <v>400</v>
      </c>
      <c r="W37" s="77">
        <v>650</v>
      </c>
      <c r="X37" s="77">
        <v>900</v>
      </c>
      <c r="Y37" s="77">
        <v>1200</v>
      </c>
      <c r="Z37" s="49"/>
    </row>
    <row r="38" spans="1:26" x14ac:dyDescent="0.3">
      <c r="A38" s="49"/>
      <c r="B38" s="226">
        <v>5</v>
      </c>
      <c r="C38" s="230">
        <f>+((((('Equipment Costs'!G33)+'System Variables'!$J$53)+(I38)))/(1-C$2)/(1-$C$3))</f>
        <v>8612.0833961664903</v>
      </c>
      <c r="D38" s="230">
        <f>+((((('Equipment Costs'!L33)+'System Variables'!$J$53)+(J38)))/(1-D$2)/(1-$C$3))</f>
        <v>9952.3463214336571</v>
      </c>
      <c r="E38" s="230">
        <f>+((((('Equipment Costs'!Q33)+'System Variables'!$J$53)+(K38)))/(1-E$2)/(1-$C$3))</f>
        <v>9606.6879462703146</v>
      </c>
      <c r="F38" s="230">
        <f>+((((('Equipment Costs'!V33)+'System Variables'!$J$53)+(L38)))/(1-F$2)/(1-$C$3))</f>
        <v>10252.801479579248</v>
      </c>
      <c r="G38" s="59" t="s">
        <v>162</v>
      </c>
      <c r="H38" s="18"/>
      <c r="I38" s="59">
        <f>'Labor Rate'!$L$7+'Pricing-GP-Margin'!U38</f>
        <v>3819.0755650402562</v>
      </c>
      <c r="J38" s="59">
        <f>'Labor Rate'!$L$7+'Pricing-GP-Margin'!V38</f>
        <v>4219.0755650402562</v>
      </c>
      <c r="K38" s="59">
        <f>'Labor Rate'!$L$7+'Pricing-GP-Margin'!W38</f>
        <v>4469.0755650402562</v>
      </c>
      <c r="L38" s="59">
        <f>'Labor Rate'!$L$7+'Pricing-GP-Margin'!X38</f>
        <v>4719.0755650402562</v>
      </c>
      <c r="M38" s="59">
        <f>'Labor Rate'!$L$7+'Pricing-GP-Margin'!Y38</f>
        <v>5019.0755650402562</v>
      </c>
      <c r="N38" s="226">
        <v>5</v>
      </c>
      <c r="O38" s="231">
        <f t="shared" si="18"/>
        <v>0.44345547869871382</v>
      </c>
      <c r="P38" s="231">
        <f t="shared" si="16"/>
        <v>0.42392772807292034</v>
      </c>
      <c r="Q38" s="231">
        <f t="shared" si="17"/>
        <v>0.46520461474709635</v>
      </c>
      <c r="R38" s="231">
        <f t="shared" si="14"/>
        <v>0.46027181687262286</v>
      </c>
      <c r="S38" s="231" t="e">
        <f t="shared" si="15"/>
        <v>#VALUE!</v>
      </c>
      <c r="T38" s="18"/>
      <c r="U38" s="77">
        <v>0</v>
      </c>
      <c r="V38" s="77">
        <v>400</v>
      </c>
      <c r="W38" s="77">
        <v>650</v>
      </c>
      <c r="X38" s="77">
        <v>900</v>
      </c>
      <c r="Y38" s="77">
        <v>1200</v>
      </c>
      <c r="Z38" s="49"/>
    </row>
    <row r="39" spans="1:26" x14ac:dyDescent="0.3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</row>
    <row r="40" spans="1:26" x14ac:dyDescent="0.3">
      <c r="A40" s="49"/>
      <c r="B40" s="49"/>
      <c r="C40" s="305" t="s">
        <v>158</v>
      </c>
      <c r="D40" s="306"/>
      <c r="E40" s="306"/>
      <c r="F40" s="306"/>
      <c r="G40" s="307"/>
      <c r="H40" s="49"/>
      <c r="I40" s="305" t="s">
        <v>159</v>
      </c>
      <c r="J40" s="306"/>
      <c r="K40" s="306"/>
      <c r="L40" s="306"/>
      <c r="M40" s="307"/>
      <c r="N40" s="49"/>
      <c r="O40" s="305" t="s">
        <v>160</v>
      </c>
      <c r="P40" s="306"/>
      <c r="Q40" s="306"/>
      <c r="R40" s="306"/>
      <c r="S40" s="307"/>
      <c r="T40" s="49"/>
      <c r="U40" s="305" t="s">
        <v>163</v>
      </c>
      <c r="V40" s="306"/>
      <c r="W40" s="306"/>
      <c r="X40" s="306"/>
      <c r="Y40" s="307"/>
      <c r="Z40" s="49"/>
    </row>
    <row r="41" spans="1:26" x14ac:dyDescent="0.3">
      <c r="A41" s="222"/>
      <c r="B41" s="223" t="s">
        <v>152</v>
      </c>
      <c r="C41" s="12" t="str">
        <f>'Equipment Costs'!$C$3</f>
        <v>The Value Line</v>
      </c>
      <c r="D41" s="12" t="str">
        <f>'Equipment Costs'!$H$3</f>
        <v>The Prestige</v>
      </c>
      <c r="E41" s="12" t="str">
        <f>'Equipment Costs'!$M$3</f>
        <v>The Supreme</v>
      </c>
      <c r="F41" s="12" t="str">
        <f>'Equipment Costs'!$R$3</f>
        <v>The Optimum</v>
      </c>
      <c r="G41" s="12" t="str">
        <f>'Equipment Costs'!$W$3</f>
        <v>The Ultimate</v>
      </c>
      <c r="H41" s="49"/>
      <c r="I41" s="12" t="str">
        <f>'Equipment Costs'!$C$3</f>
        <v>The Value Line</v>
      </c>
      <c r="J41" s="12" t="str">
        <f>'Equipment Costs'!$H$3</f>
        <v>The Prestige</v>
      </c>
      <c r="K41" s="12" t="str">
        <f>'Equipment Costs'!$M$3</f>
        <v>The Supreme</v>
      </c>
      <c r="L41" s="12" t="str">
        <f>'Equipment Costs'!$R$3</f>
        <v>The Optimum</v>
      </c>
      <c r="M41" s="12" t="str">
        <f>'Equipment Costs'!$W$3</f>
        <v>The Ultimate</v>
      </c>
      <c r="N41" s="32" t="str">
        <f>B41</f>
        <v>COND_COIL</v>
      </c>
      <c r="O41" s="12" t="str">
        <f>'Equipment Costs'!$C$3</f>
        <v>The Value Line</v>
      </c>
      <c r="P41" s="12" t="str">
        <f>'Equipment Costs'!$H$3</f>
        <v>The Prestige</v>
      </c>
      <c r="Q41" s="12" t="str">
        <f>'Equipment Costs'!$M$3</f>
        <v>The Supreme</v>
      </c>
      <c r="R41" s="12" t="str">
        <f>'Equipment Costs'!$R$3</f>
        <v>The Optimum</v>
      </c>
      <c r="S41" s="12" t="str">
        <f>'Equipment Costs'!$W$3</f>
        <v>The Ultimate</v>
      </c>
      <c r="T41" s="49"/>
      <c r="U41" s="12" t="str">
        <f>'Equipment Costs'!$C$3</f>
        <v>The Value Line</v>
      </c>
      <c r="V41" s="12" t="str">
        <f>'Equipment Costs'!$H$3</f>
        <v>The Prestige</v>
      </c>
      <c r="W41" s="12" t="str">
        <f>'Equipment Costs'!$M$3</f>
        <v>The Supreme</v>
      </c>
      <c r="X41" s="12" t="str">
        <f>'Equipment Costs'!$R$3</f>
        <v>The Optimum</v>
      </c>
      <c r="Y41" s="12" t="str">
        <f>'Equipment Costs'!$W$3</f>
        <v>The Ultimate</v>
      </c>
      <c r="Z41" s="49"/>
    </row>
    <row r="42" spans="1:26" x14ac:dyDescent="0.3">
      <c r="A42" s="49"/>
      <c r="B42" s="224">
        <v>2</v>
      </c>
      <c r="C42" s="225">
        <f>+((((('Equipment Costs'!G35)+'System Variables'!$L$53)+(I42)))/(1-C$2)/(1-$C$3))</f>
        <v>5550.1529806540238</v>
      </c>
      <c r="D42" s="225">
        <f>+((((('Equipment Costs'!L35)+'System Variables'!$L$53)+(J42)))/(1-D$2)/(1-$C$3))</f>
        <v>6672.310263202975</v>
      </c>
      <c r="E42" s="225">
        <f>+((((('Equipment Costs'!Q35)+'System Variables'!$L$53)+(K42)))/(1-E$2)/(1-$C$3))</f>
        <v>8091.1362300231767</v>
      </c>
      <c r="F42" s="225">
        <f>+((((('Equipment Costs'!V35)+'System Variables'!$L$53)+(L42)))/(1-F$2)/(1-$C$3))</f>
        <v>8744.3661579418203</v>
      </c>
      <c r="G42" s="225" t="s">
        <v>162</v>
      </c>
      <c r="H42" s="18"/>
      <c r="I42" s="225">
        <f>'Labor Rate'!$L$7+'Pricing-GP-Margin'!U42</f>
        <v>3819.0755650402562</v>
      </c>
      <c r="J42" s="225">
        <f>'Labor Rate'!$L$7+'Pricing-GP-Margin'!V42</f>
        <v>4219.0755650402562</v>
      </c>
      <c r="K42" s="225">
        <f>'Labor Rate'!$L$7+'Pricing-GP-Margin'!W42</f>
        <v>4469.0755650402562</v>
      </c>
      <c r="L42" s="225">
        <f>'Labor Rate'!$L$7+'Pricing-GP-Margin'!X42</f>
        <v>4719.0755650402562</v>
      </c>
      <c r="M42" s="225">
        <f>'Labor Rate'!$L$7+'Pricing-GP-Margin'!Y42</f>
        <v>5019.0755650402562</v>
      </c>
      <c r="N42" s="226">
        <v>2</v>
      </c>
      <c r="O42" s="227">
        <f>+(I42/C42)</f>
        <v>0.6881027565100053</v>
      </c>
      <c r="P42" s="227">
        <f>+(J42/D42)</f>
        <v>0.63232604579375951</v>
      </c>
      <c r="Q42" s="227">
        <f>+(K42/E42)</f>
        <v>0.55234214799859505</v>
      </c>
      <c r="R42" s="227">
        <f t="shared" ref="R42:R47" si="19">+(L42/F42)</f>
        <v>0.53967039803728833</v>
      </c>
      <c r="S42" s="227" t="e">
        <f t="shared" ref="S42:S47" si="20">+(M42/G42)</f>
        <v>#VALUE!</v>
      </c>
      <c r="T42" s="18"/>
      <c r="U42" s="77">
        <v>0</v>
      </c>
      <c r="V42" s="77">
        <v>400</v>
      </c>
      <c r="W42" s="77">
        <v>650</v>
      </c>
      <c r="X42" s="77">
        <v>900</v>
      </c>
      <c r="Y42" s="77">
        <v>1200</v>
      </c>
      <c r="Z42" s="49"/>
    </row>
    <row r="43" spans="1:26" x14ac:dyDescent="0.3">
      <c r="A43" s="49"/>
      <c r="B43" s="226">
        <v>2.5</v>
      </c>
      <c r="C43" s="230">
        <f>+((((('Equipment Costs'!G36)+'System Variables'!$L$53)+(I43)))/(1-C$2)/(1-$C$3))</f>
        <v>5585.1779114019464</v>
      </c>
      <c r="D43" s="230">
        <f>+((((('Equipment Costs'!L36)+'System Variables'!$L$53)+(J43)))/(1-D$2)/(1-$C$3))</f>
        <v>6761.4144065400415</v>
      </c>
      <c r="E43" s="230">
        <f>+((((('Equipment Costs'!Q36)+'System Variables'!$L$53)+(K43)))/(1-E$2)/(1-$C$3))</f>
        <v>8108.5961842565875</v>
      </c>
      <c r="F43" s="230">
        <f>+((((('Equipment Costs'!V36)+'System Variables'!$L$53)+(L43)))/(1-F$2)/(1-$C$3))</f>
        <v>8839.9801930295398</v>
      </c>
      <c r="G43" s="230" t="s">
        <v>162</v>
      </c>
      <c r="H43" s="18"/>
      <c r="I43" s="59">
        <f>'Labor Rate'!$L$7+'Pricing-GP-Margin'!U43</f>
        <v>3819.0755650402562</v>
      </c>
      <c r="J43" s="59">
        <f>'Labor Rate'!$L$7+'Pricing-GP-Margin'!V43</f>
        <v>4219.0755650402562</v>
      </c>
      <c r="K43" s="59">
        <f>'Labor Rate'!$L$7+'Pricing-GP-Margin'!W43</f>
        <v>4469.0755650402562</v>
      </c>
      <c r="L43" s="59">
        <f>'Labor Rate'!$L$7+'Pricing-GP-Margin'!X43</f>
        <v>4719.0755650402562</v>
      </c>
      <c r="M43" s="59">
        <f>'Labor Rate'!$L$7+'Pricing-GP-Margin'!Y43</f>
        <v>5019.0755650402562</v>
      </c>
      <c r="N43" s="226">
        <v>2.5</v>
      </c>
      <c r="O43" s="231">
        <f>+(I43/C43)</f>
        <v>0.68378762961941575</v>
      </c>
      <c r="P43" s="231">
        <f t="shared" ref="P43:P47" si="21">+(J43/D43)</f>
        <v>0.62399304514737564</v>
      </c>
      <c r="Q43" s="231">
        <f t="shared" ref="Q43:Q47" si="22">+(K43/E43)</f>
        <v>0.55115280912832754</v>
      </c>
      <c r="R43" s="231">
        <f t="shared" si="19"/>
        <v>0.53383327360408794</v>
      </c>
      <c r="S43" s="231" t="e">
        <f t="shared" si="20"/>
        <v>#VALUE!</v>
      </c>
      <c r="T43" s="18"/>
      <c r="U43" s="77">
        <v>0</v>
      </c>
      <c r="V43" s="77">
        <v>400</v>
      </c>
      <c r="W43" s="77">
        <v>650</v>
      </c>
      <c r="X43" s="77">
        <v>900</v>
      </c>
      <c r="Y43" s="77">
        <v>1200</v>
      </c>
      <c r="Z43" s="49"/>
    </row>
    <row r="44" spans="1:26" x14ac:dyDescent="0.3">
      <c r="A44" s="49"/>
      <c r="B44" s="224">
        <v>3</v>
      </c>
      <c r="C44" s="225">
        <f>+((((('Equipment Costs'!G37)+'System Variables'!$L$53)+(I44)))/(1-C$2)/(1-$C$3))</f>
        <v>5679.3828975515307</v>
      </c>
      <c r="D44" s="225">
        <f>+((((('Equipment Costs'!L37)+'System Variables'!$L$53)+(J44)))/(1-D$2)/(1-$C$3))</f>
        <v>6885.9160862712833</v>
      </c>
      <c r="E44" s="225">
        <f>+((((('Equipment Costs'!Q37)+'System Variables'!$L$53)+(K44)))/(1-E$2)/(1-$C$3))</f>
        <v>8188.4131178950292</v>
      </c>
      <c r="F44" s="225">
        <f>+((((('Equipment Costs'!V37)+'System Variables'!$L$53)+(L44)))/(1-F$2)/(1-$C$3))</f>
        <v>8839.9801930295398</v>
      </c>
      <c r="G44" s="225">
        <f>+((((('Equipment Costs'!AA37)+'System Variables'!$L$53)+(M44)))/(1-G$2)/(1-$C$3))</f>
        <v>9768.7237620098749</v>
      </c>
      <c r="H44" s="18"/>
      <c r="I44" s="225">
        <f>'Labor Rate'!$L$7+'Pricing-GP-Margin'!U44</f>
        <v>3819.0755650402562</v>
      </c>
      <c r="J44" s="225">
        <f>'Labor Rate'!$L$7+'Pricing-GP-Margin'!V44</f>
        <v>4219.0755650402562</v>
      </c>
      <c r="K44" s="225">
        <f>'Labor Rate'!$L$7+'Pricing-GP-Margin'!W44</f>
        <v>4469.0755650402562</v>
      </c>
      <c r="L44" s="225">
        <f>'Labor Rate'!$L$7+'Pricing-GP-Margin'!X44</f>
        <v>4719.0755650402562</v>
      </c>
      <c r="M44" s="225">
        <f>'Labor Rate'!$L$7+'Pricing-GP-Margin'!Y44</f>
        <v>5019.0755650402562</v>
      </c>
      <c r="N44" s="226">
        <v>3</v>
      </c>
      <c r="O44" s="227">
        <f t="shared" ref="O44:O47" si="23">+(I44/C44)</f>
        <v>0.67244551634064298</v>
      </c>
      <c r="P44" s="227">
        <f t="shared" si="21"/>
        <v>0.61271085969984296</v>
      </c>
      <c r="Q44" s="227">
        <f t="shared" si="22"/>
        <v>0.54578042176126895</v>
      </c>
      <c r="R44" s="227">
        <f t="shared" si="19"/>
        <v>0.53383327360408794</v>
      </c>
      <c r="S44" s="227">
        <f t="shared" si="20"/>
        <v>0.51379030539887038</v>
      </c>
      <c r="T44" s="18"/>
      <c r="U44" s="77">
        <v>0</v>
      </c>
      <c r="V44" s="77">
        <v>400</v>
      </c>
      <c r="W44" s="77">
        <v>650</v>
      </c>
      <c r="X44" s="77">
        <v>900</v>
      </c>
      <c r="Y44" s="77">
        <v>1200</v>
      </c>
      <c r="Z44" s="49"/>
    </row>
    <row r="45" spans="1:26" x14ac:dyDescent="0.3">
      <c r="A45" s="49"/>
      <c r="B45" s="226">
        <v>3.5</v>
      </c>
      <c r="C45" s="230">
        <f>+((((('Equipment Costs'!G38)+'System Variables'!$L$53)+(I45)))/(1-C$2)/(1-$C$3))</f>
        <v>5796.5352521221675</v>
      </c>
      <c r="D45" s="230">
        <f>+((((('Equipment Costs'!L38)+'System Variables'!$L$53)+(J45)))/(1-D$2)/(1-$C$3))</f>
        <v>7073.8892105713958</v>
      </c>
      <c r="E45" s="230">
        <f>+((((('Equipment Costs'!Q38)+'System Variables'!$L$53)+(K45)))/(1-E$2)/(1-$C$3))</f>
        <v>8212.1087700689422</v>
      </c>
      <c r="F45" s="230">
        <f>+((((('Equipment Costs'!V38)+'System Variables'!$L$53)+(L45)))/(1-F$2)/(1-$C$3))</f>
        <v>8913.9217134973751</v>
      </c>
      <c r="G45" s="230" t="s">
        <v>162</v>
      </c>
      <c r="H45" s="18"/>
      <c r="I45" s="59">
        <f>'Labor Rate'!$L$7+'Pricing-GP-Margin'!U45</f>
        <v>3819.0755650402562</v>
      </c>
      <c r="J45" s="59">
        <f>'Labor Rate'!$L$7+'Pricing-GP-Margin'!V45</f>
        <v>4219.0755650402562</v>
      </c>
      <c r="K45" s="59">
        <f>'Labor Rate'!$L$7+'Pricing-GP-Margin'!W45</f>
        <v>4469.0755650402562</v>
      </c>
      <c r="L45" s="59">
        <f>'Labor Rate'!$L$7+'Pricing-GP-Margin'!X45</f>
        <v>4719.0755650402562</v>
      </c>
      <c r="M45" s="59">
        <f>'Labor Rate'!$L$7+'Pricing-GP-Margin'!Y45</f>
        <v>5019.0755650402562</v>
      </c>
      <c r="N45" s="226">
        <v>3.5</v>
      </c>
      <c r="O45" s="231">
        <f t="shared" si="23"/>
        <v>0.65885488467305631</v>
      </c>
      <c r="P45" s="231">
        <f t="shared" si="21"/>
        <v>0.59642940954392742</v>
      </c>
      <c r="Q45" s="231">
        <f t="shared" si="22"/>
        <v>0.54420559811980396</v>
      </c>
      <c r="R45" s="231">
        <f t="shared" si="19"/>
        <v>0.52940509426896543</v>
      </c>
      <c r="S45" s="231" t="e">
        <f t="shared" si="20"/>
        <v>#VALUE!</v>
      </c>
      <c r="T45" s="18"/>
      <c r="U45" s="77">
        <v>0</v>
      </c>
      <c r="V45" s="77">
        <v>400</v>
      </c>
      <c r="W45" s="77">
        <v>650</v>
      </c>
      <c r="X45" s="77">
        <v>900</v>
      </c>
      <c r="Y45" s="77">
        <v>1200</v>
      </c>
      <c r="Z45" s="49"/>
    </row>
    <row r="46" spans="1:26" x14ac:dyDescent="0.3">
      <c r="A46" s="49"/>
      <c r="B46" s="224">
        <v>4</v>
      </c>
      <c r="C46" s="225">
        <f>+((((('Equipment Costs'!G39)+'System Variables'!$L$53)+(I46)))/(1-C$2)/(1-$C$3))</f>
        <v>5881.078188410258</v>
      </c>
      <c r="D46" s="225">
        <f>+((((('Equipment Costs'!L39)+'System Variables'!$L$53)+(J46)))/(1-D$2)/(1-$C$3))</f>
        <v>7274.0683819039841</v>
      </c>
      <c r="E46" s="225">
        <f>+((((('Equipment Costs'!Q39)+'System Variables'!$L$53)+(K46)))/(1-E$2)/(1-$C$3))</f>
        <v>8212.1087700689422</v>
      </c>
      <c r="F46" s="225">
        <f>+((((('Equipment Costs'!V39)+'System Variables'!$L$53)+(L46)))/(1-F$2)/(1-$C$3))</f>
        <v>8913.9217134973751</v>
      </c>
      <c r="G46" s="225">
        <f>+((((('Equipment Costs'!AA39)+'System Variables'!$L$53)+(M46)))/(1-G$2)/(1-$C$3))</f>
        <v>9768.7237620098749</v>
      </c>
      <c r="H46" s="18"/>
      <c r="I46" s="225">
        <f>'Labor Rate'!$L$7+'Pricing-GP-Margin'!U46</f>
        <v>3819.0755650402562</v>
      </c>
      <c r="J46" s="225">
        <f>'Labor Rate'!$L$7+'Pricing-GP-Margin'!V46</f>
        <v>4219.0755650402562</v>
      </c>
      <c r="K46" s="225">
        <f>'Labor Rate'!$L$7+'Pricing-GP-Margin'!W46</f>
        <v>4469.0755650402562</v>
      </c>
      <c r="L46" s="225">
        <f>'Labor Rate'!$L$7+'Pricing-GP-Margin'!X46</f>
        <v>4719.0755650402562</v>
      </c>
      <c r="M46" s="225">
        <f>'Labor Rate'!$L$7+'Pricing-GP-Margin'!Y46</f>
        <v>5019.0755650402562</v>
      </c>
      <c r="N46" s="226">
        <v>4</v>
      </c>
      <c r="O46" s="227">
        <f t="shared" si="23"/>
        <v>0.64938357265279079</v>
      </c>
      <c r="P46" s="227">
        <f t="shared" si="21"/>
        <v>0.58001593379796013</v>
      </c>
      <c r="Q46" s="227">
        <f t="shared" si="22"/>
        <v>0.54420559811980396</v>
      </c>
      <c r="R46" s="227">
        <f t="shared" si="19"/>
        <v>0.52940509426896543</v>
      </c>
      <c r="S46" s="227">
        <f t="shared" si="20"/>
        <v>0.51379030539887038</v>
      </c>
      <c r="T46" s="18"/>
      <c r="U46" s="77">
        <v>0</v>
      </c>
      <c r="V46" s="77">
        <v>400</v>
      </c>
      <c r="W46" s="77">
        <v>650</v>
      </c>
      <c r="X46" s="77">
        <v>900</v>
      </c>
      <c r="Y46" s="77">
        <v>1200</v>
      </c>
      <c r="Z46" s="49"/>
    </row>
    <row r="47" spans="1:26" x14ac:dyDescent="0.3">
      <c r="A47" s="49"/>
      <c r="B47" s="226">
        <v>5</v>
      </c>
      <c r="C47" s="230">
        <f>+((((('Equipment Costs'!G40)+'System Variables'!$L$53)+(I47)))/(1-C$2)/(1-$C$3))</f>
        <v>6169.7319280224447</v>
      </c>
      <c r="D47" s="230">
        <f>+((((('Equipment Costs'!L40)+'System Variables'!$L$53)+(J47)))/(1-D$2)/(1-$C$3))</f>
        <v>7542.6014166184286</v>
      </c>
      <c r="E47" s="230">
        <f>+((((('Equipment Costs'!Q40)+'System Variables'!$L$53)+(K47)))/(1-E$2)/(1-$C$3))</f>
        <v>8212.1087700689422</v>
      </c>
      <c r="F47" s="230">
        <f>+((((('Equipment Costs'!V40)+'System Variables'!$L$53)+(L47)))/(1-F$2)/(1-$C$3))</f>
        <v>8913.9217134973751</v>
      </c>
      <c r="G47" s="230">
        <f>+((((('Equipment Costs'!AA40)+'System Variables'!$L$53)+(M47)))/(1-G$2)/(1-$C$3))</f>
        <v>9768.7237620098749</v>
      </c>
      <c r="H47" s="18"/>
      <c r="I47" s="59">
        <f>'Labor Rate'!$L$7+'Pricing-GP-Margin'!U47</f>
        <v>3819.0755650402562</v>
      </c>
      <c r="J47" s="59">
        <f>'Labor Rate'!$L$7+'Pricing-GP-Margin'!V47</f>
        <v>4219.0755650402562</v>
      </c>
      <c r="K47" s="59">
        <f>'Labor Rate'!$L$7+'Pricing-GP-Margin'!W47</f>
        <v>4469.0755650402562</v>
      </c>
      <c r="L47" s="59">
        <f>'Labor Rate'!$L$7+'Pricing-GP-Margin'!X47</f>
        <v>4719.0755650402562</v>
      </c>
      <c r="M47" s="59">
        <f>'Labor Rate'!$L$7+'Pricing-GP-Margin'!Y47</f>
        <v>5019.0755650402562</v>
      </c>
      <c r="N47" s="226">
        <v>5</v>
      </c>
      <c r="O47" s="231">
        <f t="shared" si="23"/>
        <v>0.61900186419677505</v>
      </c>
      <c r="P47" s="231">
        <f t="shared" si="21"/>
        <v>0.55936610354942928</v>
      </c>
      <c r="Q47" s="231">
        <f t="shared" si="22"/>
        <v>0.54420559811980396</v>
      </c>
      <c r="R47" s="231">
        <f t="shared" si="19"/>
        <v>0.52940509426896543</v>
      </c>
      <c r="S47" s="231">
        <f t="shared" si="20"/>
        <v>0.51379030539887038</v>
      </c>
      <c r="T47" s="18"/>
      <c r="U47" s="77">
        <v>0</v>
      </c>
      <c r="V47" s="77">
        <v>400</v>
      </c>
      <c r="W47" s="77">
        <v>650</v>
      </c>
      <c r="X47" s="77">
        <v>900</v>
      </c>
      <c r="Y47" s="77">
        <v>1200</v>
      </c>
      <c r="Z47" s="49"/>
    </row>
    <row r="48" spans="1:26" x14ac:dyDescent="0.3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</row>
    <row r="49" spans="1:26" x14ac:dyDescent="0.3">
      <c r="A49" s="49"/>
      <c r="B49" s="49"/>
      <c r="C49" s="305" t="s">
        <v>158</v>
      </c>
      <c r="D49" s="306"/>
      <c r="E49" s="306"/>
      <c r="F49" s="306"/>
      <c r="G49" s="307"/>
      <c r="H49" s="49"/>
      <c r="I49" s="305" t="s">
        <v>159</v>
      </c>
      <c r="J49" s="306"/>
      <c r="K49" s="306"/>
      <c r="L49" s="306"/>
      <c r="M49" s="307"/>
      <c r="N49" s="49"/>
      <c r="O49" s="305" t="s">
        <v>160</v>
      </c>
      <c r="P49" s="306"/>
      <c r="Q49" s="306"/>
      <c r="R49" s="306"/>
      <c r="S49" s="307"/>
      <c r="T49" s="49"/>
      <c r="U49" s="305" t="s">
        <v>163</v>
      </c>
      <c r="V49" s="306"/>
      <c r="W49" s="306"/>
      <c r="X49" s="306"/>
      <c r="Y49" s="307"/>
      <c r="Z49" s="49"/>
    </row>
    <row r="50" spans="1:26" x14ac:dyDescent="0.3">
      <c r="A50" s="222"/>
      <c r="B50" s="223" t="s">
        <v>153</v>
      </c>
      <c r="C50" s="12" t="str">
        <f>'Equipment Costs'!$C$3</f>
        <v>The Value Line</v>
      </c>
      <c r="D50" s="12" t="str">
        <f>'Equipment Costs'!$H$3</f>
        <v>The Prestige</v>
      </c>
      <c r="E50" s="12" t="str">
        <f>'Equipment Costs'!$M$3</f>
        <v>The Supreme</v>
      </c>
      <c r="F50" s="12" t="str">
        <f>'Equipment Costs'!$R$3</f>
        <v>The Optimum</v>
      </c>
      <c r="G50" s="12" t="str">
        <f>'Equipment Costs'!$W$3</f>
        <v>The Ultimate</v>
      </c>
      <c r="H50" s="49"/>
      <c r="I50" s="12" t="str">
        <f>'Equipment Costs'!$C$3</f>
        <v>The Value Line</v>
      </c>
      <c r="J50" s="12" t="str">
        <f>'Equipment Costs'!$H$3</f>
        <v>The Prestige</v>
      </c>
      <c r="K50" s="12" t="str">
        <f>'Equipment Costs'!$M$3</f>
        <v>The Supreme</v>
      </c>
      <c r="L50" s="12" t="str">
        <f>'Equipment Costs'!$R$3</f>
        <v>The Optimum</v>
      </c>
      <c r="M50" s="12" t="str">
        <f>'Equipment Costs'!$W$3</f>
        <v>The Ultimate</v>
      </c>
      <c r="N50" s="32" t="str">
        <f>B50</f>
        <v>FURNACE</v>
      </c>
      <c r="O50" s="12" t="str">
        <f>'Equipment Costs'!$C$3</f>
        <v>The Value Line</v>
      </c>
      <c r="P50" s="12" t="str">
        <f>'Equipment Costs'!$H$3</f>
        <v>The Prestige</v>
      </c>
      <c r="Q50" s="12" t="str">
        <f>'Equipment Costs'!$M$3</f>
        <v>The Supreme</v>
      </c>
      <c r="R50" s="12" t="str">
        <f>'Equipment Costs'!$R$3</f>
        <v>The Optimum</v>
      </c>
      <c r="S50" s="12" t="str">
        <f>'Equipment Costs'!$W$3</f>
        <v>The Ultimate</v>
      </c>
      <c r="T50" s="49"/>
      <c r="U50" s="12" t="str">
        <f>'Equipment Costs'!$C$3</f>
        <v>The Value Line</v>
      </c>
      <c r="V50" s="12" t="str">
        <f>'Equipment Costs'!$H$3</f>
        <v>The Prestige</v>
      </c>
      <c r="W50" s="12" t="str">
        <f>'Equipment Costs'!$M$3</f>
        <v>The Supreme</v>
      </c>
      <c r="X50" s="12" t="str">
        <f>'Equipment Costs'!$R$3</f>
        <v>The Optimum</v>
      </c>
      <c r="Y50" s="12" t="str">
        <f>'Equipment Costs'!$W$3</f>
        <v>The Ultimate</v>
      </c>
      <c r="Z50" s="49"/>
    </row>
    <row r="51" spans="1:26" x14ac:dyDescent="0.3">
      <c r="A51" s="49"/>
      <c r="B51" s="224">
        <v>2</v>
      </c>
      <c r="C51" s="225">
        <f>+((((('Equipment Costs'!G42)+'System Variables'!$N$53)+(I51)))/(1-C$2)/(1-$C$3))</f>
        <v>5283.1227313465461</v>
      </c>
      <c r="D51" s="225">
        <f>+((((('Equipment Costs'!L42)+'System Variables'!$N$53)+(J51)))/(1-D$2)/(1-$C$3))</f>
        <v>6077.758415498608</v>
      </c>
      <c r="E51" s="225">
        <f>+((((('Equipment Costs'!Q42)+'System Variables'!$N$53)+(K51)))/(1-E$2)/(1-$C$3))</f>
        <v>8341.6913787645954</v>
      </c>
      <c r="F51" s="225" t="s">
        <v>162</v>
      </c>
      <c r="G51" s="225" t="s">
        <v>162</v>
      </c>
      <c r="H51" s="18"/>
      <c r="I51" s="225">
        <f>'Labor Rate'!$L$7+'Pricing-GP-Margin'!U51</f>
        <v>3819.0755650402562</v>
      </c>
      <c r="J51" s="225">
        <f>'Labor Rate'!$L$7+'Pricing-GP-Margin'!V51</f>
        <v>4219.0755650402562</v>
      </c>
      <c r="K51" s="225">
        <f>'Labor Rate'!$L$7+'Pricing-GP-Margin'!W51</f>
        <v>4469.0755650402562</v>
      </c>
      <c r="L51" s="225">
        <f>'Labor Rate'!$L$7+'Pricing-GP-Margin'!X51</f>
        <v>4719.0755650402562</v>
      </c>
      <c r="M51" s="225">
        <f>'Labor Rate'!$L$7+'Pricing-GP-Margin'!Y51</f>
        <v>5019.0755650402562</v>
      </c>
      <c r="N51" s="226">
        <v>2</v>
      </c>
      <c r="O51" s="227">
        <f>+(I51/C51)</f>
        <v>0.72288223447477284</v>
      </c>
      <c r="P51" s="227">
        <f>+(J51/D51)</f>
        <v>0.69418283462557318</v>
      </c>
      <c r="Q51" s="227">
        <f>+(K51/E51)</f>
        <v>0.53575172733160104</v>
      </c>
      <c r="R51" s="227" t="e">
        <f t="shared" ref="R51:R56" si="24">+(L51/F51)</f>
        <v>#VALUE!</v>
      </c>
      <c r="S51" s="227" t="e">
        <f t="shared" ref="S51:S56" si="25">+(M51/G51)</f>
        <v>#VALUE!</v>
      </c>
      <c r="T51" s="18"/>
      <c r="U51" s="77">
        <v>0</v>
      </c>
      <c r="V51" s="77">
        <v>400</v>
      </c>
      <c r="W51" s="77">
        <v>650</v>
      </c>
      <c r="X51" s="77">
        <v>900</v>
      </c>
      <c r="Y51" s="77">
        <v>1200</v>
      </c>
      <c r="Z51" s="49"/>
    </row>
    <row r="52" spans="1:26" x14ac:dyDescent="0.3">
      <c r="A52" s="49"/>
      <c r="B52" s="226">
        <v>2.5</v>
      </c>
      <c r="C52" s="230">
        <f>+((((('Equipment Costs'!G43)+'System Variables'!$N$53)+(I52)))/(1-C$2)/(1-$C$3))</f>
        <v>5283.1227313465461</v>
      </c>
      <c r="D52" s="230">
        <f>+((((('Equipment Costs'!L43)+'System Variables'!$N$53)+(J52)))/(1-D$2)/(1-$C$3))</f>
        <v>6077.758415498608</v>
      </c>
      <c r="E52" s="230">
        <f>+((((('Equipment Costs'!Q43)+'System Variables'!$N$53)+(K52)))/(1-E$2)/(1-$C$3))</f>
        <v>8341.6913787645954</v>
      </c>
      <c r="F52" s="59" t="s">
        <v>162</v>
      </c>
      <c r="G52" s="59" t="s">
        <v>162</v>
      </c>
      <c r="H52" s="18"/>
      <c r="I52" s="59">
        <f>'Labor Rate'!$L$7+'Pricing-GP-Margin'!U52</f>
        <v>3819.0755650402562</v>
      </c>
      <c r="J52" s="59">
        <f>'Labor Rate'!$L$7+'Pricing-GP-Margin'!V52</f>
        <v>4219.0755650402562</v>
      </c>
      <c r="K52" s="59">
        <f>'Labor Rate'!$L$7+'Pricing-GP-Margin'!W52</f>
        <v>4469.0755650402562</v>
      </c>
      <c r="L52" s="59">
        <f>'Labor Rate'!$L$7+'Pricing-GP-Margin'!X52</f>
        <v>4719.0755650402562</v>
      </c>
      <c r="M52" s="59">
        <f>'Labor Rate'!$L$7+'Pricing-GP-Margin'!Y52</f>
        <v>5019.0755650402562</v>
      </c>
      <c r="N52" s="226">
        <v>2.5</v>
      </c>
      <c r="O52" s="231">
        <f>+(I52/C52)</f>
        <v>0.72288223447477284</v>
      </c>
      <c r="P52" s="231">
        <f t="shared" ref="P52:P56" si="26">+(J52/D52)</f>
        <v>0.69418283462557318</v>
      </c>
      <c r="Q52" s="231">
        <f t="shared" ref="Q52:Q56" si="27">+(K52/E52)</f>
        <v>0.53575172733160104</v>
      </c>
      <c r="R52" s="231" t="e">
        <f t="shared" si="24"/>
        <v>#VALUE!</v>
      </c>
      <c r="S52" s="231" t="e">
        <f t="shared" si="25"/>
        <v>#VALUE!</v>
      </c>
      <c r="T52" s="18"/>
      <c r="U52" s="77">
        <v>0</v>
      </c>
      <c r="V52" s="77">
        <v>400</v>
      </c>
      <c r="W52" s="77">
        <v>650</v>
      </c>
      <c r="X52" s="77">
        <v>900</v>
      </c>
      <c r="Y52" s="77">
        <v>1200</v>
      </c>
      <c r="Z52" s="49"/>
    </row>
    <row r="53" spans="1:26" x14ac:dyDescent="0.3">
      <c r="A53" s="49"/>
      <c r="B53" s="224">
        <v>3</v>
      </c>
      <c r="C53" s="225">
        <f>+((((('Equipment Costs'!G44)+'System Variables'!$N$53)+(I53)))/(1-C$2)/(1-$C$3))</f>
        <v>5312.1088809310331</v>
      </c>
      <c r="D53" s="225">
        <f>+((((('Equipment Costs'!L44)+'System Variables'!$N$53)+(J53)))/(1-D$2)/(1-$C$3))</f>
        <v>6110.7147424862897</v>
      </c>
      <c r="E53" s="225">
        <f>+((((('Equipment Costs'!Q44)+'System Variables'!$N$53)+(K53)))/(1-E$2)/(1-$C$3))</f>
        <v>8375.3641476433131</v>
      </c>
      <c r="F53" s="225" t="s">
        <v>162</v>
      </c>
      <c r="G53" s="225" t="s">
        <v>162</v>
      </c>
      <c r="H53" s="18"/>
      <c r="I53" s="225">
        <f>'Labor Rate'!$L$7+'Pricing-GP-Margin'!U53</f>
        <v>3819.0755650402562</v>
      </c>
      <c r="J53" s="225">
        <f>'Labor Rate'!$L$7+'Pricing-GP-Margin'!V53</f>
        <v>4219.0755650402562</v>
      </c>
      <c r="K53" s="225">
        <f>'Labor Rate'!$L$7+'Pricing-GP-Margin'!W53</f>
        <v>4469.0755650402562</v>
      </c>
      <c r="L53" s="225">
        <f>'Labor Rate'!$L$7+'Pricing-GP-Margin'!X53</f>
        <v>4719.0755650402562</v>
      </c>
      <c r="M53" s="225">
        <f>'Labor Rate'!$L$7+'Pricing-GP-Margin'!Y53</f>
        <v>5019.0755650402562</v>
      </c>
      <c r="N53" s="226">
        <v>3</v>
      </c>
      <c r="O53" s="227">
        <f t="shared" ref="O53:O56" si="28">+(I53/C53)</f>
        <v>0.71893774217423445</v>
      </c>
      <c r="P53" s="227">
        <f t="shared" si="26"/>
        <v>0.69043896546275774</v>
      </c>
      <c r="Q53" s="227">
        <f t="shared" si="27"/>
        <v>0.53359776199077613</v>
      </c>
      <c r="R53" s="227" t="e">
        <f t="shared" si="24"/>
        <v>#VALUE!</v>
      </c>
      <c r="S53" s="227" t="e">
        <f t="shared" si="25"/>
        <v>#VALUE!</v>
      </c>
      <c r="T53" s="18"/>
      <c r="U53" s="77">
        <v>0</v>
      </c>
      <c r="V53" s="77">
        <v>400</v>
      </c>
      <c r="W53" s="77">
        <v>650</v>
      </c>
      <c r="X53" s="77">
        <v>900</v>
      </c>
      <c r="Y53" s="77">
        <v>1200</v>
      </c>
      <c r="Z53" s="49"/>
    </row>
    <row r="54" spans="1:26" x14ac:dyDescent="0.3">
      <c r="A54" s="49"/>
      <c r="B54" s="226">
        <v>3.5</v>
      </c>
      <c r="C54" s="230">
        <f>+((((('Equipment Costs'!G45)+'System Variables'!$N$53)+(I54)))/(1-C$2)/(1-$C$3))</f>
        <v>5371.288936332694</v>
      </c>
      <c r="D54" s="230">
        <f>+((((('Equipment Costs'!L45)+'System Variables'!$N$53)+(J54)))/(1-D$2)/(1-$C$3))</f>
        <v>6175.4067917584061</v>
      </c>
      <c r="E54" s="230">
        <f>+((((('Equipment Costs'!Q45)+'System Variables'!$N$53)+(K54)))/(1-E$2)/(1-$C$3))</f>
        <v>8441.4625458126502</v>
      </c>
      <c r="F54" s="59" t="s">
        <v>162</v>
      </c>
      <c r="G54" s="59" t="s">
        <v>162</v>
      </c>
      <c r="H54" s="18"/>
      <c r="I54" s="59">
        <f>'Labor Rate'!$L$7+'Pricing-GP-Margin'!U54</f>
        <v>3819.0755650402562</v>
      </c>
      <c r="J54" s="59">
        <f>'Labor Rate'!$L$7+'Pricing-GP-Margin'!V54</f>
        <v>4219.0755650402562</v>
      </c>
      <c r="K54" s="59">
        <f>'Labor Rate'!$L$7+'Pricing-GP-Margin'!W54</f>
        <v>4469.0755650402562</v>
      </c>
      <c r="L54" s="59">
        <f>'Labor Rate'!$L$7+'Pricing-GP-Margin'!X54</f>
        <v>4719.0755650402562</v>
      </c>
      <c r="M54" s="59">
        <f>'Labor Rate'!$L$7+'Pricing-GP-Margin'!Y54</f>
        <v>5019.0755650402562</v>
      </c>
      <c r="N54" s="226">
        <v>3.5</v>
      </c>
      <c r="O54" s="231">
        <f t="shared" si="28"/>
        <v>0.71101659402589723</v>
      </c>
      <c r="P54" s="231">
        <f t="shared" si="26"/>
        <v>0.68320609594026471</v>
      </c>
      <c r="Q54" s="231">
        <f t="shared" si="27"/>
        <v>0.5294195811195207</v>
      </c>
      <c r="R54" s="231" t="e">
        <f t="shared" si="24"/>
        <v>#VALUE!</v>
      </c>
      <c r="S54" s="231" t="e">
        <f t="shared" si="25"/>
        <v>#VALUE!</v>
      </c>
      <c r="T54" s="18"/>
      <c r="U54" s="77">
        <v>0</v>
      </c>
      <c r="V54" s="77">
        <v>400</v>
      </c>
      <c r="W54" s="77">
        <v>650</v>
      </c>
      <c r="X54" s="77">
        <v>900</v>
      </c>
      <c r="Y54" s="77">
        <v>1200</v>
      </c>
      <c r="Z54" s="49"/>
    </row>
    <row r="55" spans="1:26" x14ac:dyDescent="0.3">
      <c r="A55" s="49"/>
      <c r="B55" s="224">
        <v>4</v>
      </c>
      <c r="C55" s="225">
        <f>+((((('Equipment Costs'!G46)+'System Variables'!$N$53)+(I55)))/(1-C$2)/(1-$C$3))</f>
        <v>5371.288936332694</v>
      </c>
      <c r="D55" s="225">
        <f>+((((('Equipment Costs'!L46)+'System Variables'!$N$53)+(J55)))/(1-D$2)/(1-$C$3))</f>
        <v>6153.4359070999517</v>
      </c>
      <c r="E55" s="225">
        <f>+((((('Equipment Costs'!Q46)+'System Variables'!$N$53)+(K55)))/(1-E$2)/(1-$C$3))</f>
        <v>8419.0140332268384</v>
      </c>
      <c r="F55" s="225" t="s">
        <v>162</v>
      </c>
      <c r="G55" s="225" t="s">
        <v>162</v>
      </c>
      <c r="H55" s="18"/>
      <c r="I55" s="225">
        <f>'Labor Rate'!$L$7+'Pricing-GP-Margin'!U55</f>
        <v>3819.0755650402562</v>
      </c>
      <c r="J55" s="225">
        <f>'Labor Rate'!$L$7+'Pricing-GP-Margin'!V55</f>
        <v>4219.0755650402562</v>
      </c>
      <c r="K55" s="225">
        <f>'Labor Rate'!$L$7+'Pricing-GP-Margin'!W55</f>
        <v>4469.0755650402562</v>
      </c>
      <c r="L55" s="225">
        <f>'Labor Rate'!$L$7+'Pricing-GP-Margin'!X55</f>
        <v>4719.0755650402562</v>
      </c>
      <c r="M55" s="225">
        <f>'Labor Rate'!$L$7+'Pricing-GP-Margin'!Y55</f>
        <v>5019.0755650402562</v>
      </c>
      <c r="N55" s="226">
        <v>4</v>
      </c>
      <c r="O55" s="227">
        <f t="shared" si="28"/>
        <v>0.71101659402589723</v>
      </c>
      <c r="P55" s="227">
        <f t="shared" si="26"/>
        <v>0.68564548794149405</v>
      </c>
      <c r="Q55" s="227">
        <f t="shared" si="27"/>
        <v>0.5308312288591529</v>
      </c>
      <c r="R55" s="227" t="e">
        <f t="shared" si="24"/>
        <v>#VALUE!</v>
      </c>
      <c r="S55" s="227" t="e">
        <f t="shared" si="25"/>
        <v>#VALUE!</v>
      </c>
      <c r="T55" s="18"/>
      <c r="U55" s="77">
        <v>0</v>
      </c>
      <c r="V55" s="77">
        <v>400</v>
      </c>
      <c r="W55" s="77">
        <v>650</v>
      </c>
      <c r="X55" s="77">
        <v>900</v>
      </c>
      <c r="Y55" s="77">
        <v>1200</v>
      </c>
      <c r="Z55" s="49"/>
    </row>
    <row r="56" spans="1:26" x14ac:dyDescent="0.3">
      <c r="A56" s="49"/>
      <c r="B56" s="226">
        <v>5</v>
      </c>
      <c r="C56" s="230">
        <f>+((((('Equipment Costs'!G47)+'System Variables'!$N$53)+(I56)))/(1-C$2)/(1-$C$3))</f>
        <v>5426.8457230362947</v>
      </c>
      <c r="D56" s="230">
        <f>+((((('Equipment Costs'!L47)+'System Variables'!$N$53)+(J56)))/(1-D$2)/(1-$C$3))</f>
        <v>6153.4359070999517</v>
      </c>
      <c r="E56" s="230">
        <f>+((((('Equipment Costs'!Q47)+'System Variables'!$N$53)+(K56)))/(1-E$2)/(1-$C$3))</f>
        <v>8419.0140332268384</v>
      </c>
      <c r="F56" s="59" t="s">
        <v>162</v>
      </c>
      <c r="G56" s="59" t="s">
        <v>162</v>
      </c>
      <c r="H56" s="18"/>
      <c r="I56" s="59">
        <f>'Labor Rate'!$L$7+'Pricing-GP-Margin'!U56</f>
        <v>3819.0755650402562</v>
      </c>
      <c r="J56" s="59">
        <f>'Labor Rate'!$L$7+'Pricing-GP-Margin'!V56</f>
        <v>4219.0755650402562</v>
      </c>
      <c r="K56" s="59">
        <f>'Labor Rate'!$L$7+'Pricing-GP-Margin'!W56</f>
        <v>4469.0755650402562</v>
      </c>
      <c r="L56" s="59">
        <f>'Labor Rate'!$L$7+'Pricing-GP-Margin'!X56</f>
        <v>4719.0755650402562</v>
      </c>
      <c r="M56" s="59">
        <f>'Labor Rate'!$L$7+'Pricing-GP-Margin'!Y56</f>
        <v>5019.0755650402562</v>
      </c>
      <c r="N56" s="226">
        <v>5</v>
      </c>
      <c r="O56" s="231">
        <f t="shared" si="28"/>
        <v>0.70373763323116933</v>
      </c>
      <c r="P56" s="231">
        <f t="shared" si="26"/>
        <v>0.68564548794149405</v>
      </c>
      <c r="Q56" s="231">
        <f t="shared" si="27"/>
        <v>0.5308312288591529</v>
      </c>
      <c r="R56" s="231" t="e">
        <f t="shared" si="24"/>
        <v>#VALUE!</v>
      </c>
      <c r="S56" s="231" t="e">
        <f t="shared" si="25"/>
        <v>#VALUE!</v>
      </c>
      <c r="T56" s="18"/>
      <c r="U56" s="77">
        <v>0</v>
      </c>
      <c r="V56" s="77">
        <v>400</v>
      </c>
      <c r="W56" s="77">
        <v>650</v>
      </c>
      <c r="X56" s="77">
        <v>900</v>
      </c>
      <c r="Y56" s="77">
        <v>1200</v>
      </c>
      <c r="Z56" s="49"/>
    </row>
    <row r="57" spans="1:26" x14ac:dyDescent="0.3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</row>
    <row r="58" spans="1:26" x14ac:dyDescent="0.3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</row>
    <row r="61" spans="1:26" x14ac:dyDescent="0.3">
      <c r="E61" s="4"/>
    </row>
  </sheetData>
  <mergeCells count="24">
    <mergeCell ref="U40:Y40"/>
    <mergeCell ref="U49:Y49"/>
    <mergeCell ref="C40:G40"/>
    <mergeCell ref="C49:G49"/>
    <mergeCell ref="I40:M40"/>
    <mergeCell ref="I49:M49"/>
    <mergeCell ref="O40:S40"/>
    <mergeCell ref="O49:S49"/>
    <mergeCell ref="U4:Y4"/>
    <mergeCell ref="U13:Y13"/>
    <mergeCell ref="C22:G22"/>
    <mergeCell ref="C31:G31"/>
    <mergeCell ref="I22:M22"/>
    <mergeCell ref="I31:M31"/>
    <mergeCell ref="O22:S22"/>
    <mergeCell ref="O31:S31"/>
    <mergeCell ref="U22:Y22"/>
    <mergeCell ref="U31:Y31"/>
    <mergeCell ref="C4:G4"/>
    <mergeCell ref="C13:G13"/>
    <mergeCell ref="I4:M4"/>
    <mergeCell ref="I13:M13"/>
    <mergeCell ref="O4:S4"/>
    <mergeCell ref="O13:S13"/>
  </mergeCells>
  <printOptions horizontalCentered="1" verticalCentered="1"/>
  <pageMargins left="0.25" right="0.25" top="0.75" bottom="0.75" header="0.3" footer="0.3"/>
  <pageSetup scale="62" orientation="portrait"/>
  <headerFooter>
    <oddFooter>&amp;L&amp;D&amp;T&amp;CConfidential&amp;R&amp;F</oddFooter>
  </headerFooter>
  <colBreaks count="1" manualBreakCount="1">
    <brk id="13" max="54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2"/>
  <sheetViews>
    <sheetView zoomScaleNormal="100" workbookViewId="0">
      <selection activeCell="D31" sqref="D31"/>
    </sheetView>
  </sheetViews>
  <sheetFormatPr defaultColWidth="8.88671875" defaultRowHeight="14.4" x14ac:dyDescent="0.3"/>
  <cols>
    <col min="1" max="1" width="46.44140625" style="239" customWidth="1"/>
    <col min="2" max="2" width="11.44140625" style="241" bestFit="1" customWidth="1"/>
    <col min="3" max="3" width="10.33203125" style="5" customWidth="1"/>
    <col min="4" max="4" width="46.44140625" style="241" customWidth="1"/>
    <col min="5" max="5" width="11.44140625" style="17" bestFit="1" customWidth="1"/>
    <col min="6" max="6" width="11.6640625" style="25" customWidth="1"/>
    <col min="7" max="7" width="44.88671875" style="19" customWidth="1"/>
    <col min="8" max="8" width="11.44140625" style="17" bestFit="1" customWidth="1"/>
    <col min="9" max="9" width="11.6640625" style="25" customWidth="1"/>
    <col min="10" max="10" width="44.6640625" style="19" bestFit="1" customWidth="1"/>
    <col min="11" max="11" width="13.109375" style="17" bestFit="1" customWidth="1"/>
    <col min="12" max="12" width="11.6640625" style="25" customWidth="1"/>
    <col min="13" max="13" width="45.109375" style="19" customWidth="1"/>
    <col min="14" max="14" width="13.109375" style="17" bestFit="1" customWidth="1"/>
    <col min="15" max="15" width="11.6640625" style="25" customWidth="1"/>
    <col min="16" max="16" width="8.88671875" style="2"/>
  </cols>
  <sheetData>
    <row r="1" spans="1:16" ht="24.75" customHeight="1" x14ac:dyDescent="0.3">
      <c r="A1" s="11"/>
      <c r="B1" s="13" t="s">
        <v>164</v>
      </c>
      <c r="C1" s="42" t="s">
        <v>165</v>
      </c>
      <c r="D1" s="13"/>
      <c r="E1" s="13" t="s">
        <v>166</v>
      </c>
      <c r="F1" s="23" t="s">
        <v>165</v>
      </c>
      <c r="G1" s="12"/>
      <c r="H1" s="13" t="s">
        <v>167</v>
      </c>
      <c r="I1" s="23" t="s">
        <v>165</v>
      </c>
      <c r="J1" s="12"/>
      <c r="K1" s="13" t="s">
        <v>168</v>
      </c>
      <c r="L1" s="23" t="s">
        <v>165</v>
      </c>
      <c r="M1" s="12"/>
      <c r="N1" s="13" t="s">
        <v>169</v>
      </c>
      <c r="O1" s="23" t="s">
        <v>165</v>
      </c>
      <c r="P1" s="39"/>
    </row>
    <row r="2" spans="1:16" s="3" customFormat="1" x14ac:dyDescent="0.3">
      <c r="A2" s="245">
        <v>60</v>
      </c>
      <c r="B2" s="246"/>
      <c r="C2" s="246"/>
      <c r="D2" s="246"/>
      <c r="E2" s="246"/>
      <c r="F2" s="247"/>
      <c r="G2" s="247"/>
      <c r="H2" s="246"/>
      <c r="I2" s="247"/>
      <c r="J2" s="247"/>
      <c r="K2" s="246"/>
      <c r="L2" s="247"/>
      <c r="M2" s="247"/>
      <c r="N2" s="246"/>
      <c r="O2" s="247"/>
      <c r="P2" s="43"/>
    </row>
    <row r="3" spans="1:16" x14ac:dyDescent="0.3">
      <c r="A3" s="11" t="s">
        <v>170</v>
      </c>
      <c r="B3" s="10">
        <f>'Pricing-GP-Margin'!C11</f>
        <v>8737.5228421498705</v>
      </c>
      <c r="C3" s="238">
        <f>((('Equipment Costs'!G12)+('System Variables'!$D$53)+'Labor Rate'!$L$8))-650</f>
        <v>6437.0242981084493</v>
      </c>
      <c r="D3" s="11" t="s">
        <v>170</v>
      </c>
      <c r="E3" s="10">
        <f>'Pricing-GP-Margin'!D11</f>
        <v>10372.065358387743</v>
      </c>
      <c r="F3" s="26">
        <f>((('Equipment Costs'!L12)+('System Variables'!$D$53)+'Labor Rate'!$L$8))</f>
        <v>8063.6642981084487</v>
      </c>
      <c r="G3" s="11" t="s">
        <v>170</v>
      </c>
      <c r="H3" s="10">
        <f>'Pricing-GP-Margin'!E11</f>
        <v>11039.478678535761</v>
      </c>
      <c r="I3" s="26">
        <f>((('Equipment Costs'!Q12)+('System Variables'!$D$53)+'Labor Rate'!$L$8))</f>
        <v>8199.9142981084478</v>
      </c>
      <c r="J3" s="11" t="s">
        <v>170</v>
      </c>
      <c r="K3" s="10">
        <f>'Pricing-GP-Margin'!F11</f>
        <v>11867.864754433049</v>
      </c>
      <c r="L3" s="26">
        <f>((('Equipment Costs'!V12)+('System Variables'!$D$53)+'Labor Rate'!$L$8))</f>
        <v>8448.4342981084483</v>
      </c>
      <c r="M3" s="11" t="s">
        <v>170</v>
      </c>
      <c r="N3" s="10">
        <f>'Pricing-GP-Margin'!G11</f>
        <v>12939.742063445285</v>
      </c>
      <c r="O3" s="26">
        <f>((('Equipment Costs'!AA12)+('System Variables'!$D$53)+'Labor Rate'!$L$8))</f>
        <v>8819.0342981084505</v>
      </c>
      <c r="P3" s="39"/>
    </row>
    <row r="4" spans="1:16" x14ac:dyDescent="0.3">
      <c r="A4" s="11" t="s">
        <v>171</v>
      </c>
      <c r="B4" s="10">
        <f>'Pricing-GP-Margin'!C20</f>
        <v>8911.882952953194</v>
      </c>
      <c r="C4" s="238">
        <f>((('Equipment Costs'!G19)+('System Variables'!$F$53)+'Labor Rate'!$L$8))-650</f>
        <v>6594.384298108449</v>
      </c>
      <c r="D4" s="11" t="s">
        <v>171</v>
      </c>
      <c r="E4" s="10">
        <f>'Pricing-GP-Margin'!D20</f>
        <v>10857.093353908462</v>
      </c>
      <c r="F4" s="26">
        <f>((('Equipment Costs'!L19)+('System Variables'!$F$53)+'Labor Rate'!$L$8))</f>
        <v>8496.7942981084489</v>
      </c>
      <c r="G4" s="11" t="s">
        <v>171</v>
      </c>
      <c r="H4" s="10">
        <f>'Pricing-GP-Margin'!E20</f>
        <v>10854.112545812652</v>
      </c>
      <c r="I4" s="26">
        <f>((('Equipment Costs'!Q19)+('System Variables'!$F$53)+'Labor Rate'!$L$8))</f>
        <v>8037.9042981084494</v>
      </c>
      <c r="J4" s="11" t="s">
        <v>171</v>
      </c>
      <c r="K4" s="10">
        <f>'Pricing-GP-Margin'!F20</f>
        <v>11540.695163789773</v>
      </c>
      <c r="L4" s="26">
        <f>((('Equipment Costs'!V19)+('System Variables'!$F$53)+'Labor Rate'!$L$8))</f>
        <v>8168.7042981084496</v>
      </c>
      <c r="M4" s="11" t="s">
        <v>171</v>
      </c>
      <c r="N4" s="10">
        <f>'Pricing-GP-Margin'!G20</f>
        <v>12357.409527560116</v>
      </c>
      <c r="O4" s="26">
        <f>((('Equipment Costs'!AA19)+('System Variables'!$F$53)+'Labor Rate'!$L$8))</f>
        <v>8332.2042981084487</v>
      </c>
      <c r="P4" s="39"/>
    </row>
    <row r="5" spans="1:16" x14ac:dyDescent="0.3">
      <c r="A5" s="11" t="s">
        <v>172</v>
      </c>
      <c r="B5" s="10">
        <f>'Pricing-GP-Margin'!C29</f>
        <v>8586.7205152800634</v>
      </c>
      <c r="C5" s="238">
        <f>((('Equipment Costs'!G26)+('System Variables'!$H$53)+'Labor Rate'!$L$8))-650</f>
        <v>6300.925198108449</v>
      </c>
      <c r="D5" s="11" t="s">
        <v>172</v>
      </c>
      <c r="E5" s="10">
        <f>'Pricing-GP-Margin'!D29</f>
        <v>10001.170509563557</v>
      </c>
      <c r="F5" s="26">
        <f>((('Equipment Costs'!L26)+('System Variables'!$H$53)+'Labor Rate'!$L$8))</f>
        <v>7732.4551981084487</v>
      </c>
      <c r="G5" s="11" t="s">
        <v>172</v>
      </c>
      <c r="H5" s="10">
        <f>'Pricing-GP-Margin'!E29</f>
        <v>9544.3309668652801</v>
      </c>
      <c r="I5" s="26">
        <f>((('Equipment Costs'!Q26)+('System Variables'!$H$53)+'Labor Rate'!$L$8))</f>
        <v>6893.1551981084494</v>
      </c>
      <c r="J5" s="11" t="s">
        <v>172</v>
      </c>
      <c r="K5" s="10">
        <f>'Pricing-GP-Margin'!F29</f>
        <v>10252.801479579248</v>
      </c>
      <c r="L5" s="26">
        <f>((('Equipment Costs'!V26)+('System Variables'!$H$53)+'Labor Rate'!$L$8))</f>
        <v>7067.55519810845</v>
      </c>
      <c r="M5" s="11" t="s">
        <v>172</v>
      </c>
      <c r="N5" s="27"/>
      <c r="O5" s="26">
        <f>((('Equipment Costs'!AA26)+('System Variables'!$H$53)+'Labor Rate'!$L$8))</f>
        <v>6369.9551981084496</v>
      </c>
      <c r="P5" s="39"/>
    </row>
    <row r="6" spans="1:16" x14ac:dyDescent="0.3">
      <c r="A6" s="11" t="s">
        <v>173</v>
      </c>
      <c r="B6" s="10">
        <f>'Pricing-GP-Margin'!C38</f>
        <v>8612.0833961664903</v>
      </c>
      <c r="C6" s="238">
        <f>((('Equipment Costs'!G33)+('System Variables'!$J$53)+'Labor Rate'!$L$8))-650</f>
        <v>6323.8151981084493</v>
      </c>
      <c r="D6" s="11" t="s">
        <v>173</v>
      </c>
      <c r="E6" s="10">
        <f>'Pricing-GP-Margin'!D38</f>
        <v>9952.3463214336571</v>
      </c>
      <c r="F6" s="26">
        <f>((('Equipment Costs'!L33)+('System Variables'!$J$53)+'Labor Rate'!$L$8))</f>
        <v>7688.8551981084493</v>
      </c>
      <c r="G6" s="11" t="s">
        <v>173</v>
      </c>
      <c r="H6" s="10">
        <f>'Pricing-GP-Margin'!E38</f>
        <v>9606.6879462703146</v>
      </c>
      <c r="I6" s="26">
        <f>((('Equipment Costs'!Q33)+('System Variables'!$J$53)+'Labor Rate'!$L$8))</f>
        <v>6947.6551981084494</v>
      </c>
      <c r="J6" s="11" t="s">
        <v>173</v>
      </c>
      <c r="K6" s="10">
        <f>'Pricing-GP-Margin'!F38</f>
        <v>10252.801479579248</v>
      </c>
      <c r="L6" s="26">
        <f>((('Equipment Costs'!V33)+('System Variables'!$J$53)+'Labor Rate'!$L$8))</f>
        <v>7067.55519810845</v>
      </c>
      <c r="M6" s="11" t="s">
        <v>173</v>
      </c>
      <c r="N6" s="27"/>
      <c r="O6" s="26">
        <f>((('Equipment Costs'!AA33)+('System Variables'!$J$53)+'Labor Rate'!$L$8))</f>
        <v>6369.9551981084496</v>
      </c>
      <c r="P6" s="39"/>
    </row>
    <row r="7" spans="1:16" x14ac:dyDescent="0.3">
      <c r="A7" s="11" t="s">
        <v>174</v>
      </c>
      <c r="B7" s="10">
        <f>'Pricing-GP-Margin'!C47</f>
        <v>6169.7319280224447</v>
      </c>
      <c r="C7" s="238">
        <f>((('Equipment Costs'!G40)+('System Variables'!$L$53)+'Labor Rate'!$L$8))</f>
        <v>4769.5929981084491</v>
      </c>
      <c r="D7" s="11" t="s">
        <v>174</v>
      </c>
      <c r="E7" s="10">
        <f>'Pricing-GP-Margin'!D47</f>
        <v>7542.6014166184286</v>
      </c>
      <c r="F7" s="26">
        <f>((('Equipment Costs'!L40)+('System Variables'!$L$53)+'Labor Rate'!$L$8))</f>
        <v>5536.9529981084488</v>
      </c>
      <c r="G7" s="11" t="s">
        <v>174</v>
      </c>
      <c r="H7" s="10">
        <f>'Pricing-GP-Margin'!E47</f>
        <v>8212.1087700689422</v>
      </c>
      <c r="I7" s="26">
        <f>((('Equipment Costs'!Q40)+('System Variables'!$L$53)+'Labor Rate'!$L$8))</f>
        <v>5728.792998108449</v>
      </c>
      <c r="J7" s="11" t="s">
        <v>174</v>
      </c>
      <c r="K7" s="10">
        <f>'Pricing-GP-Margin'!F47</f>
        <v>8913.9217134973751</v>
      </c>
      <c r="L7" s="26">
        <f>((('Equipment Costs'!V40)+('System Variables'!$L$53)+'Labor Rate'!$L$8))</f>
        <v>5922.8129981084494</v>
      </c>
      <c r="M7" s="11" t="s">
        <v>174</v>
      </c>
      <c r="N7" s="10">
        <f>'Pricing-GP-Margin'!G47</f>
        <v>9768.7237620098749</v>
      </c>
      <c r="O7" s="26">
        <f>((('Equipment Costs'!AA40)+('System Variables'!$L$53)+'Labor Rate'!$L$8))</f>
        <v>6168.0629981084494</v>
      </c>
      <c r="P7" s="39"/>
    </row>
    <row r="8" spans="1:16" x14ac:dyDescent="0.3">
      <c r="A8" s="11" t="s">
        <v>175</v>
      </c>
      <c r="B8" s="10">
        <f>'Pricing-GP-Margin'!C56</f>
        <v>5426.8457230362947</v>
      </c>
      <c r="C8" s="238">
        <f>((('Equipment Costs'!G47)+('System Variables'!$N$53)+'Labor Rate'!$L$8))</f>
        <v>4099.1381981084487</v>
      </c>
      <c r="D8" s="11" t="s">
        <v>175</v>
      </c>
      <c r="E8" s="10">
        <f>'Pricing-GP-Margin'!D56</f>
        <v>6153.4359070999517</v>
      </c>
      <c r="F8" s="26">
        <f>((('Equipment Costs'!L47)+('System Variables'!$N$53)+'Labor Rate'!$L$8))</f>
        <v>4296.4281981084496</v>
      </c>
      <c r="G8" s="11" t="s">
        <v>175</v>
      </c>
      <c r="H8" s="10">
        <f>'Pricing-GP-Margin'!E56</f>
        <v>8419.0140332268384</v>
      </c>
      <c r="I8" s="26">
        <f>((('Equipment Costs'!Q47)+('System Variables'!$N$53)+'Labor Rate'!$L$8))</f>
        <v>5909.6281981084494</v>
      </c>
      <c r="J8" s="11" t="s">
        <v>175</v>
      </c>
      <c r="K8" s="27"/>
      <c r="L8" s="26">
        <f>((('Equipment Costs'!V47)+('System Variables'!$N$53)+'Labor Rate'!$L$8))</f>
        <v>6364.1581981084491</v>
      </c>
      <c r="M8" s="11" t="s">
        <v>175</v>
      </c>
      <c r="N8" s="27"/>
      <c r="O8" s="26">
        <f>((('Equipment Costs'!AA47)+('System Variables'!$N$53)+'Labor Rate'!$L$8))</f>
        <v>6527.6581981084491</v>
      </c>
      <c r="P8" s="39"/>
    </row>
    <row r="9" spans="1:16" x14ac:dyDescent="0.3">
      <c r="A9" s="11"/>
      <c r="B9" s="10"/>
      <c r="C9" s="41"/>
      <c r="D9" s="13"/>
      <c r="E9" s="10"/>
      <c r="F9" s="22"/>
      <c r="G9" s="12"/>
      <c r="H9" s="10"/>
      <c r="I9" s="22"/>
      <c r="J9" s="12"/>
      <c r="K9" s="10"/>
      <c r="L9" s="22"/>
      <c r="M9" s="12"/>
      <c r="N9" s="10"/>
      <c r="O9" s="22"/>
      <c r="P9" s="39"/>
    </row>
    <row r="10" spans="1:16" x14ac:dyDescent="0.3">
      <c r="A10" s="245">
        <v>48</v>
      </c>
      <c r="B10" s="249"/>
      <c r="C10" s="246"/>
      <c r="D10" s="246"/>
      <c r="E10" s="249"/>
      <c r="F10" s="247"/>
      <c r="G10" s="247"/>
      <c r="H10" s="249"/>
      <c r="I10" s="247"/>
      <c r="J10" s="247"/>
      <c r="K10" s="249"/>
      <c r="L10" s="247"/>
      <c r="M10" s="247"/>
      <c r="N10" s="249"/>
      <c r="O10" s="247"/>
      <c r="P10" s="39"/>
    </row>
    <row r="11" spans="1:16" x14ac:dyDescent="0.3">
      <c r="A11" s="11" t="s">
        <v>170</v>
      </c>
      <c r="B11" s="10">
        <f>'Pricing-GP-Margin'!C10</f>
        <v>8448.8691025376811</v>
      </c>
      <c r="C11" s="238">
        <f>((('Equipment Costs'!G11)+('System Variables'!$D$53)+'Labor Rate'!$L$8))-650</f>
        <v>6176.5142981084491</v>
      </c>
      <c r="D11" s="11" t="s">
        <v>170</v>
      </c>
      <c r="E11" s="10">
        <f>'Pricing-GP-Margin'!D10</f>
        <v>10069.35539198237</v>
      </c>
      <c r="F11" s="26">
        <f>((('Equipment Costs'!L11)+('System Variables'!$D$53)+'Labor Rate'!$L$8))</f>
        <v>7793.344298108449</v>
      </c>
      <c r="G11" s="11" t="s">
        <v>170</v>
      </c>
      <c r="H11" s="10">
        <f>'Pricing-GP-Margin'!E10</f>
        <v>11039.478678535761</v>
      </c>
      <c r="I11" s="26">
        <f>((('Equipment Costs'!Q11)+('System Variables'!$D$53)+'Labor Rate'!$L$8))</f>
        <v>8199.9142981084478</v>
      </c>
      <c r="J11" s="11" t="s">
        <v>170</v>
      </c>
      <c r="K11" s="10">
        <f>'Pricing-GP-Margin'!F10</f>
        <v>11867.864754433049</v>
      </c>
      <c r="L11" s="26">
        <f>((('Equipment Costs'!V11)+('System Variables'!$D$53)+'Labor Rate'!$L$8))</f>
        <v>8448.4342981084483</v>
      </c>
      <c r="M11" s="11" t="s">
        <v>170</v>
      </c>
      <c r="N11" s="10">
        <f>'Pricing-GP-Margin'!G10</f>
        <v>12939.742063445285</v>
      </c>
      <c r="O11" s="26">
        <f>((('Equipment Costs'!AA11)+('System Variables'!$D$53)+'Labor Rate'!$L$8))</f>
        <v>8819.0342981084505</v>
      </c>
      <c r="P11" s="39"/>
    </row>
    <row r="12" spans="1:16" x14ac:dyDescent="0.3">
      <c r="A12" s="11" t="s">
        <v>171</v>
      </c>
      <c r="B12" s="10">
        <f>'Pricing-GP-Margin'!C19</f>
        <v>8593.035307523829</v>
      </c>
      <c r="C12" s="238">
        <f>((('Equipment Costs'!G18)+('System Variables'!$F$53)+'Labor Rate'!$L$8))-650</f>
        <v>6306.6242981084488</v>
      </c>
      <c r="D12" s="11" t="s">
        <v>171</v>
      </c>
      <c r="E12" s="10">
        <f>'Pricing-GP-Margin'!D19</f>
        <v>10466.499848869269</v>
      </c>
      <c r="F12" s="26">
        <f>((('Equipment Costs'!L18)+('System Variables'!$F$53)+'Labor Rate'!$L$8))</f>
        <v>8147.9942981084496</v>
      </c>
      <c r="G12" s="11" t="s">
        <v>171</v>
      </c>
      <c r="H12" s="10">
        <f>'Pricing-GP-Margin'!E19</f>
        <v>10854.112545812652</v>
      </c>
      <c r="I12" s="26">
        <f>((('Equipment Costs'!Q18)+('System Variables'!$F$53)+'Labor Rate'!$L$8))</f>
        <v>8037.9042981084494</v>
      </c>
      <c r="J12" s="11" t="s">
        <v>171</v>
      </c>
      <c r="K12" s="10">
        <f>'Pricing-GP-Margin'!F19</f>
        <v>11512.648380164042</v>
      </c>
      <c r="L12" s="26">
        <f>((('Equipment Costs'!V18)+('System Variables'!$F$53)+'Labor Rate'!$L$8))</f>
        <v>8144.7242981084491</v>
      </c>
      <c r="M12" s="11" t="s">
        <v>171</v>
      </c>
      <c r="N12" s="10">
        <f>'Pricing-GP-Margin'!G19</f>
        <v>12330.029144784996</v>
      </c>
      <c r="O12" s="26">
        <f>((('Equipment Costs'!AA18)+('System Variables'!$F$53)+'Labor Rate'!$L$8))</f>
        <v>8309.3142981084493</v>
      </c>
      <c r="P12" s="39"/>
    </row>
    <row r="13" spans="1:16" x14ac:dyDescent="0.3">
      <c r="A13" s="11" t="s">
        <v>172</v>
      </c>
      <c r="B13" s="10">
        <f>'Pricing-GP-Margin'!C28</f>
        <v>8444.2052798229997</v>
      </c>
      <c r="C13" s="238">
        <f>((('Equipment Costs'!G25)+('System Variables'!$H$53)+'Labor Rate'!$L$8))-650</f>
        <v>6172.3051981084491</v>
      </c>
      <c r="D13" s="11" t="s">
        <v>172</v>
      </c>
      <c r="E13" s="10">
        <f>'Pricing-GP-Margin'!D28</f>
        <v>9677.7102632029746</v>
      </c>
      <c r="F13" s="26">
        <f>((('Equipment Costs'!L25)+('System Variables'!$H$53)+'Labor Rate'!$L$8))</f>
        <v>7443.6051981084493</v>
      </c>
      <c r="G13" s="11" t="s">
        <v>172</v>
      </c>
      <c r="H13" s="10">
        <f>'Pricing-GP-Margin'!E28</f>
        <v>9544.3309668652801</v>
      </c>
      <c r="I13" s="26">
        <f>((('Equipment Costs'!Q25)+('System Variables'!$H$53)+'Labor Rate'!$L$8))</f>
        <v>6893.1551981084494</v>
      </c>
      <c r="J13" s="11" t="s">
        <v>172</v>
      </c>
      <c r="K13" s="10">
        <f>'Pricing-GP-Margin'!F28</f>
        <v>10252.801479579248</v>
      </c>
      <c r="L13" s="26">
        <f>((('Equipment Costs'!V25)+('System Variables'!$H$53)+'Labor Rate'!$L$8))</f>
        <v>7067.55519810845</v>
      </c>
      <c r="M13" s="11" t="s">
        <v>172</v>
      </c>
      <c r="N13" s="27"/>
      <c r="O13" s="26">
        <f>((('Equipment Costs'!AA25)+('System Variables'!$H$53)+'Labor Rate'!$L$8))</f>
        <v>6369.9551981084496</v>
      </c>
      <c r="P13" s="39"/>
    </row>
    <row r="14" spans="1:16" x14ac:dyDescent="0.3">
      <c r="A14" s="11" t="s">
        <v>173</v>
      </c>
      <c r="B14" s="10">
        <f>'Pricing-GP-Margin'!C37</f>
        <v>8430.919961263442</v>
      </c>
      <c r="C14" s="238">
        <f>((('Equipment Costs'!G32)+('System Variables'!$J$53)+'Labor Rate'!$L$8))-650</f>
        <v>6160.3151981084493</v>
      </c>
      <c r="D14" s="11" t="s">
        <v>173</v>
      </c>
      <c r="E14" s="10">
        <f>'Pricing-GP-Margin'!D37</f>
        <v>9830.2858511089107</v>
      </c>
      <c r="F14" s="26">
        <f>((('Equipment Costs'!L32)+('System Variables'!$J$53)+'Labor Rate'!$L$8))</f>
        <v>7579.8551981084493</v>
      </c>
      <c r="G14" s="11" t="s">
        <v>173</v>
      </c>
      <c r="H14" s="10">
        <f>'Pricing-GP-Margin'!E37</f>
        <v>9606.6879462703146</v>
      </c>
      <c r="I14" s="26">
        <f>((('Equipment Costs'!Q32)+('System Variables'!$J$53)+'Labor Rate'!$L$8))</f>
        <v>6947.6551981084494</v>
      </c>
      <c r="J14" s="11" t="s">
        <v>173</v>
      </c>
      <c r="K14" s="10">
        <f>'Pricing-GP-Margin'!F37</f>
        <v>10252.801479579248</v>
      </c>
      <c r="L14" s="26">
        <f>((('Equipment Costs'!V32)+('System Variables'!$J$53)+'Labor Rate'!$L$8))</f>
        <v>7067.55519810845</v>
      </c>
      <c r="M14" s="11" t="s">
        <v>173</v>
      </c>
      <c r="N14" s="27"/>
      <c r="O14" s="26">
        <f>((('Equipment Costs'!AA32)+('System Variables'!$J$53)+'Labor Rate'!$L$8))</f>
        <v>6369.9551981084496</v>
      </c>
      <c r="P14" s="39"/>
    </row>
    <row r="15" spans="1:16" x14ac:dyDescent="0.3">
      <c r="A15" s="11" t="s">
        <v>174</v>
      </c>
      <c r="B15" s="10">
        <f>'Pricing-GP-Margin'!C46</f>
        <v>5881.078188410258</v>
      </c>
      <c r="C15" s="238">
        <f>((('Equipment Costs'!G39)+('System Variables'!$L$53)+'Labor Rate'!$L$8))</f>
        <v>4509.0829981084498</v>
      </c>
      <c r="D15" s="11" t="s">
        <v>174</v>
      </c>
      <c r="E15" s="10">
        <f>'Pricing-GP-Margin'!D46</f>
        <v>7274.0683819039841</v>
      </c>
      <c r="F15" s="26">
        <f>((('Equipment Costs'!L39)+('System Variables'!$L$53)+'Labor Rate'!$L$8))</f>
        <v>5297.1529981084495</v>
      </c>
      <c r="G15" s="11" t="s">
        <v>174</v>
      </c>
      <c r="H15" s="10">
        <f>'Pricing-GP-Margin'!E46</f>
        <v>8212.1087700689422</v>
      </c>
      <c r="I15" s="26">
        <f>((('Equipment Costs'!Q39)+('System Variables'!$L$53)+'Labor Rate'!$L$8))</f>
        <v>5728.792998108449</v>
      </c>
      <c r="J15" s="11" t="s">
        <v>174</v>
      </c>
      <c r="K15" s="10">
        <f>'Pricing-GP-Margin'!F46</f>
        <v>8913.9217134973751</v>
      </c>
      <c r="L15" s="26">
        <f>((('Equipment Costs'!V39)+('System Variables'!$L$53)+'Labor Rate'!$L$8))</f>
        <v>5922.8129981084494</v>
      </c>
      <c r="M15" s="11" t="s">
        <v>174</v>
      </c>
      <c r="N15" s="10">
        <f>'Pricing-GP-Margin'!G46</f>
        <v>9768.7237620098749</v>
      </c>
      <c r="O15" s="26">
        <f>((('Equipment Costs'!AA39)+('System Variables'!$L$53)+'Labor Rate'!$L$8))</f>
        <v>6168.0629981084494</v>
      </c>
      <c r="P15" s="39"/>
    </row>
    <row r="16" spans="1:16" x14ac:dyDescent="0.3">
      <c r="A16" s="11" t="s">
        <v>175</v>
      </c>
      <c r="B16" s="10">
        <f>'Pricing-GP-Margin'!C55</f>
        <v>5371.288936332694</v>
      </c>
      <c r="C16" s="238">
        <f>((('Equipment Costs'!G46)+('System Variables'!$N$53)+'Labor Rate'!$L$8))</f>
        <v>4048.9981981084493</v>
      </c>
      <c r="D16" s="11" t="s">
        <v>175</v>
      </c>
      <c r="E16" s="10">
        <f>'Pricing-GP-Margin'!D55</f>
        <v>6153.4359070999517</v>
      </c>
      <c r="F16" s="26">
        <f>((('Equipment Costs'!L46)+('System Variables'!$N$53)+'Labor Rate'!$L$8))</f>
        <v>4296.4281981084496</v>
      </c>
      <c r="G16" s="11" t="s">
        <v>175</v>
      </c>
      <c r="H16" s="10">
        <f>'Pricing-GP-Margin'!E55</f>
        <v>8419.0140332268384</v>
      </c>
      <c r="I16" s="26">
        <f>((('Equipment Costs'!Q46)+('System Variables'!$N$53)+'Labor Rate'!$L$8))</f>
        <v>5909.6281981084494</v>
      </c>
      <c r="J16" s="11" t="s">
        <v>175</v>
      </c>
      <c r="K16" s="27"/>
      <c r="L16" s="26">
        <f>((('Equipment Costs'!V46)+('System Variables'!$N$53)+'Labor Rate'!$L$8))</f>
        <v>6364.1581981084491</v>
      </c>
      <c r="M16" s="11" t="s">
        <v>175</v>
      </c>
      <c r="N16" s="27"/>
      <c r="O16" s="26">
        <f>((('Equipment Costs'!AA46)+('System Variables'!$N$53)+'Labor Rate'!$L$8))</f>
        <v>6527.6581981084491</v>
      </c>
      <c r="P16" s="39"/>
    </row>
    <row r="17" spans="1:16" x14ac:dyDescent="0.3">
      <c r="A17" s="11"/>
      <c r="B17" s="10"/>
      <c r="C17" s="41"/>
      <c r="D17" s="13"/>
      <c r="E17" s="10"/>
      <c r="F17" s="22"/>
      <c r="G17" s="12"/>
      <c r="H17" s="10"/>
      <c r="I17" s="22"/>
      <c r="J17" s="12"/>
      <c r="K17" s="10"/>
      <c r="L17" s="22"/>
      <c r="M17" s="12"/>
      <c r="N17" s="10"/>
      <c r="O17" s="22"/>
      <c r="P17" s="39"/>
    </row>
    <row r="18" spans="1:16" x14ac:dyDescent="0.3">
      <c r="A18" s="245">
        <v>42</v>
      </c>
      <c r="B18" s="249"/>
      <c r="C18" s="246"/>
      <c r="D18" s="246"/>
      <c r="E18" s="249"/>
      <c r="F18" s="247"/>
      <c r="G18" s="247"/>
      <c r="H18" s="249"/>
      <c r="I18" s="247"/>
      <c r="J18" s="247"/>
      <c r="K18" s="249"/>
      <c r="L18" s="247"/>
      <c r="M18" s="247"/>
      <c r="N18" s="249"/>
      <c r="O18" s="247"/>
      <c r="P18" s="39"/>
    </row>
    <row r="19" spans="1:16" x14ac:dyDescent="0.3">
      <c r="A19" s="11" t="s">
        <v>170</v>
      </c>
      <c r="B19" s="10">
        <f>'Pricing-GP-Margin'!C9</f>
        <v>8303.9383546152421</v>
      </c>
      <c r="C19" s="238">
        <f>((('Equipment Costs'!G10)+('System Variables'!$D$53)+'Labor Rate'!$L$8))-650</f>
        <v>6045.7142981084489</v>
      </c>
      <c r="D19" s="11" t="s">
        <v>170</v>
      </c>
      <c r="E19" s="10">
        <f>'Pricing-GP-Margin'!D9</f>
        <v>9961.9421780965931</v>
      </c>
      <c r="F19" s="26">
        <f>((('Equipment Costs'!L10)+('System Variables'!$D$53)+'Labor Rate'!$L$8))</f>
        <v>7697.424298108449</v>
      </c>
      <c r="G19" s="11" t="s">
        <v>170</v>
      </c>
      <c r="H19" s="10">
        <f>'Pricing-GP-Margin'!E9</f>
        <v>11039.478678535761</v>
      </c>
      <c r="I19" s="26">
        <f>((('Equipment Costs'!Q10)+('System Variables'!$D$53)+'Labor Rate'!$L$8))</f>
        <v>8199.9142981084478</v>
      </c>
      <c r="J19" s="11" t="s">
        <v>170</v>
      </c>
      <c r="K19" s="10">
        <f>'Pricing-GP-Margin'!F9</f>
        <v>11867.864754433049</v>
      </c>
      <c r="L19" s="26">
        <f>((('Equipment Costs'!V10)+('System Variables'!$D$53)+'Labor Rate'!$L$8))</f>
        <v>8448.4342981084483</v>
      </c>
      <c r="M19" s="11" t="s">
        <v>170</v>
      </c>
      <c r="N19" s="10">
        <f>'Pricing-GP-Margin'!G9</f>
        <v>12939.742063445285</v>
      </c>
      <c r="O19" s="26">
        <f>((('Equipment Costs'!AA10)+('System Variables'!$D$53)+'Labor Rate'!$L$8))</f>
        <v>8819.0342981084505</v>
      </c>
      <c r="P19" s="39"/>
    </row>
    <row r="20" spans="1:16" x14ac:dyDescent="0.3">
      <c r="A20" s="11" t="s">
        <v>171</v>
      </c>
      <c r="B20" s="10">
        <f>'Pricing-GP-Margin'!C18</f>
        <v>8292.3040055847723</v>
      </c>
      <c r="C20" s="238">
        <f>((('Equipment Costs'!G17)+('System Variables'!$F$53)+'Labor Rate'!$L$8))-650</f>
        <v>6035.2142981084489</v>
      </c>
      <c r="D20" s="11" t="s">
        <v>171</v>
      </c>
      <c r="E20" s="10">
        <f>'Pricing-GP-Margin'!D18</f>
        <v>10125.951136663223</v>
      </c>
      <c r="F20" s="26">
        <f>((('Equipment Costs'!L17)+('System Variables'!$F$53)+'Labor Rate'!$L$8))</f>
        <v>7843.884298108449</v>
      </c>
      <c r="G20" s="11" t="s">
        <v>171</v>
      </c>
      <c r="H20" s="10">
        <f>'Pricing-GP-Margin'!E18</f>
        <v>10854.112545812652</v>
      </c>
      <c r="I20" s="26">
        <f>((('Equipment Costs'!Q17)+('System Variables'!$F$53)+'Labor Rate'!$L$8))</f>
        <v>8037.9042981084494</v>
      </c>
      <c r="J20" s="11" t="s">
        <v>171</v>
      </c>
      <c r="K20" s="10">
        <f>'Pricing-GP-Margin'!F18</f>
        <v>11512.648380164042</v>
      </c>
      <c r="L20" s="26">
        <f>((('Equipment Costs'!V17)+('System Variables'!$F$53)+'Labor Rate'!$L$8))</f>
        <v>8144.7242981084491</v>
      </c>
      <c r="M20" s="11" t="s">
        <v>171</v>
      </c>
      <c r="N20" s="10">
        <f>'Pricing-GP-Margin'!G18</f>
        <v>12330.029144784996</v>
      </c>
      <c r="O20" s="26">
        <f>((('Equipment Costs'!AA17)+('System Variables'!$F$53)+'Labor Rate'!$L$8))</f>
        <v>8309.3142981084493</v>
      </c>
      <c r="P20" s="39"/>
    </row>
    <row r="21" spans="1:16" x14ac:dyDescent="0.3">
      <c r="A21" s="11" t="s">
        <v>172</v>
      </c>
      <c r="B21" s="10">
        <f>'Pricing-GP-Margin'!C27</f>
        <v>8205.0695457509773</v>
      </c>
      <c r="C21" s="238">
        <f>((('Equipment Costs'!G24)+('System Variables'!$H$53)+'Labor Rate'!$L$8))-650</f>
        <v>5956.4851981084494</v>
      </c>
      <c r="D21" s="11" t="s">
        <v>172</v>
      </c>
      <c r="E21" s="10">
        <f>'Pricing-GP-Margin'!D27</f>
        <v>9482.4135106833783</v>
      </c>
      <c r="F21" s="26">
        <f>((('Equipment Costs'!L24)+('System Variables'!$H$53)+'Labor Rate'!$L$8))</f>
        <v>7269.2051981084487</v>
      </c>
      <c r="G21" s="11" t="s">
        <v>172</v>
      </c>
      <c r="H21" s="10">
        <f>'Pricing-GP-Margin'!E27</f>
        <v>9544.3309668652801</v>
      </c>
      <c r="I21" s="26">
        <f>((('Equipment Costs'!Q24)+('System Variables'!$H$53)+'Labor Rate'!$L$8))</f>
        <v>6893.1551981084494</v>
      </c>
      <c r="J21" s="11" t="s">
        <v>172</v>
      </c>
      <c r="K21" s="27"/>
      <c r="L21" s="26">
        <f>((('Equipment Costs'!V24)+('System Variables'!$H$53)+'Labor Rate'!$L$8))</f>
        <v>6369.9551981084496</v>
      </c>
      <c r="M21" s="11" t="s">
        <v>172</v>
      </c>
      <c r="N21" s="27"/>
      <c r="O21" s="26">
        <f>((('Equipment Costs'!AA24)+('System Variables'!$H$53)+'Labor Rate'!$L$8))</f>
        <v>6369.9551981084496</v>
      </c>
      <c r="P21" s="39"/>
    </row>
    <row r="22" spans="1:16" x14ac:dyDescent="0.3">
      <c r="A22" s="11" t="s">
        <v>173</v>
      </c>
      <c r="B22" s="10">
        <f>'Pricing-GP-Margin'!C36</f>
        <v>8243.7177451969601</v>
      </c>
      <c r="C22" s="238">
        <f>((('Equipment Costs'!G31)+('System Variables'!$J$53)+'Labor Rate'!$L$8))-650</f>
        <v>5991.3651981084495</v>
      </c>
      <c r="D22" s="11" t="s">
        <v>173</v>
      </c>
      <c r="E22" s="10">
        <f>'Pricing-GP-Margin'!D36</f>
        <v>9503.1637906385877</v>
      </c>
      <c r="F22" s="26">
        <f>((('Equipment Costs'!L31)+('System Variables'!$J$53)+'Labor Rate'!$L$8))</f>
        <v>7287.7351981084494</v>
      </c>
      <c r="G22" s="11" t="s">
        <v>173</v>
      </c>
      <c r="H22" s="10">
        <f>'Pricing-GP-Margin'!E36</f>
        <v>9606.6879462703146</v>
      </c>
      <c r="I22" s="26">
        <f>((('Equipment Costs'!Q31)+('System Variables'!$J$53)+'Labor Rate'!$L$8))</f>
        <v>6947.6551981084494</v>
      </c>
      <c r="J22" s="11" t="s">
        <v>173</v>
      </c>
      <c r="K22" s="27"/>
      <c r="L22" s="26">
        <f>((('Equipment Costs'!V31)+('System Variables'!$J$53)+'Labor Rate'!$L$8))</f>
        <v>6369.9551981084496</v>
      </c>
      <c r="M22" s="11" t="s">
        <v>173</v>
      </c>
      <c r="N22" s="27"/>
      <c r="O22" s="26">
        <f>((('Equipment Costs'!AA31)+('System Variables'!$J$53)+'Labor Rate'!$L$8))</f>
        <v>6369.9551981084496</v>
      </c>
      <c r="P22" s="39"/>
    </row>
    <row r="23" spans="1:16" x14ac:dyDescent="0.3">
      <c r="A23" s="11" t="s">
        <v>174</v>
      </c>
      <c r="B23" s="10">
        <f>'Pricing-GP-Margin'!C45</f>
        <v>5796.5352521221675</v>
      </c>
      <c r="C23" s="238">
        <f>((('Equipment Costs'!G38)+('System Variables'!$L$53)+'Labor Rate'!$L$8))</f>
        <v>4432.7829981084487</v>
      </c>
      <c r="D23" s="11" t="s">
        <v>174</v>
      </c>
      <c r="E23" s="10">
        <f>'Pricing-GP-Margin'!D45</f>
        <v>7073.8892105713958</v>
      </c>
      <c r="F23" s="26">
        <f>((('Equipment Costs'!L38)+('System Variables'!$L$53)+'Labor Rate'!$L$8))</f>
        <v>5118.3929981084493</v>
      </c>
      <c r="G23" s="11" t="s">
        <v>174</v>
      </c>
      <c r="H23" s="10">
        <f>'Pricing-GP-Margin'!E45</f>
        <v>8212.1087700689422</v>
      </c>
      <c r="I23" s="26">
        <f>((('Equipment Costs'!Q38)+('System Variables'!$L$53)+'Labor Rate'!$L$8))</f>
        <v>5728.792998108449</v>
      </c>
      <c r="J23" s="11" t="s">
        <v>174</v>
      </c>
      <c r="K23" s="10">
        <f>'Pricing-GP-Margin'!F45</f>
        <v>8913.9217134973751</v>
      </c>
      <c r="L23" s="26">
        <f>((('Equipment Costs'!V38)+('System Variables'!$L$53)+'Labor Rate'!$L$8))</f>
        <v>5922.8129981084494</v>
      </c>
      <c r="M23" s="11" t="s">
        <v>174</v>
      </c>
      <c r="N23" s="27"/>
      <c r="O23" s="26">
        <f>((('Equipment Costs'!AA38)+('System Variables'!$L$53)+'Labor Rate'!$L$8))</f>
        <v>5078.0629981084494</v>
      </c>
      <c r="P23" s="39"/>
    </row>
    <row r="24" spans="1:16" x14ac:dyDescent="0.3">
      <c r="A24" s="11" t="s">
        <v>175</v>
      </c>
      <c r="B24" s="10">
        <f>'Pricing-GP-Margin'!C54</f>
        <v>5371.288936332694</v>
      </c>
      <c r="C24" s="238">
        <f>((('Equipment Costs'!G45)+('System Variables'!$N$53)+'Labor Rate'!$L$8))</f>
        <v>4048.9981981084493</v>
      </c>
      <c r="D24" s="11" t="s">
        <v>175</v>
      </c>
      <c r="E24" s="10">
        <f>'Pricing-GP-Margin'!D54</f>
        <v>6175.4067917584061</v>
      </c>
      <c r="F24" s="26">
        <f>((('Equipment Costs'!L45)+('System Variables'!$N$53)+'Labor Rate'!$L$8))</f>
        <v>4316.0481981084486</v>
      </c>
      <c r="G24" s="11" t="s">
        <v>175</v>
      </c>
      <c r="H24" s="10">
        <f>'Pricing-GP-Margin'!E54</f>
        <v>8441.4625458126502</v>
      </c>
      <c r="I24" s="26">
        <f>((('Equipment Costs'!Q45)+('System Variables'!$N$53)+'Labor Rate'!$L$8))</f>
        <v>5929.2481981084493</v>
      </c>
      <c r="J24" s="11" t="s">
        <v>175</v>
      </c>
      <c r="K24" s="27"/>
      <c r="L24" s="26">
        <f>((('Equipment Costs'!V45)+('System Variables'!$N$53)+'Labor Rate'!$L$8))</f>
        <v>5046.3481981084497</v>
      </c>
      <c r="M24" s="11" t="s">
        <v>175</v>
      </c>
      <c r="N24" s="27"/>
      <c r="O24" s="26">
        <f>((('Equipment Costs'!AA45)+('System Variables'!$N$53)+'Labor Rate'!$L$8))</f>
        <v>5046.3481981084497</v>
      </c>
      <c r="P24" s="39"/>
    </row>
    <row r="25" spans="1:16" x14ac:dyDescent="0.3">
      <c r="A25" s="11"/>
      <c r="B25" s="10"/>
      <c r="C25" s="41"/>
      <c r="D25" s="13"/>
      <c r="E25" s="10"/>
      <c r="F25" s="22"/>
      <c r="G25" s="12"/>
      <c r="H25" s="10"/>
      <c r="I25" s="22"/>
      <c r="J25" s="12"/>
      <c r="K25" s="10"/>
      <c r="L25" s="22"/>
      <c r="M25" s="12"/>
      <c r="N25" s="10"/>
      <c r="O25" s="22"/>
      <c r="P25" s="39"/>
    </row>
    <row r="26" spans="1:16" x14ac:dyDescent="0.3">
      <c r="A26" s="245">
        <v>36</v>
      </c>
      <c r="B26" s="250"/>
      <c r="C26" s="245"/>
      <c r="D26" s="245">
        <v>36</v>
      </c>
      <c r="E26" s="250"/>
      <c r="F26" s="245"/>
      <c r="G26" s="245">
        <v>36</v>
      </c>
      <c r="H26" s="250"/>
      <c r="I26" s="245"/>
      <c r="J26" s="245">
        <v>36</v>
      </c>
      <c r="K26" s="250"/>
      <c r="L26" s="245"/>
      <c r="M26" s="245">
        <v>36</v>
      </c>
      <c r="N26" s="250"/>
      <c r="O26" s="245"/>
      <c r="P26" s="39"/>
    </row>
    <row r="27" spans="1:16" x14ac:dyDescent="0.3">
      <c r="A27" s="11" t="s">
        <v>170</v>
      </c>
      <c r="B27" s="10">
        <f>'Pricing-GP-Margin'!C8</f>
        <v>8070.8414017066552</v>
      </c>
      <c r="C27" s="238">
        <f>((('Equipment Costs'!G9)+('System Variables'!$D$53)+'Labor Rate'!$L$8))-650</f>
        <v>5835.344298108449</v>
      </c>
      <c r="D27" s="11" t="s">
        <v>170</v>
      </c>
      <c r="E27" s="10">
        <f>'Pricing-GP-Margin'!D8</f>
        <v>9706.8357951178677</v>
      </c>
      <c r="F27" s="26">
        <f>((('Equipment Costs'!L9)+('System Variables'!$D$53)+'Labor Rate'!$L$8))</f>
        <v>7469.6142981084495</v>
      </c>
      <c r="G27" s="11" t="s">
        <v>170</v>
      </c>
      <c r="H27" s="10">
        <f>'Pricing-GP-Margin'!E8</f>
        <v>11039.478678535761</v>
      </c>
      <c r="I27" s="26">
        <f>((('Equipment Costs'!Q9)+('System Variables'!$D$53)+'Labor Rate'!$L$8))</f>
        <v>8199.9142981084478</v>
      </c>
      <c r="J27" s="11" t="s">
        <v>170</v>
      </c>
      <c r="K27" s="10">
        <f>'Pricing-GP-Margin'!F8</f>
        <v>11804.122064374567</v>
      </c>
      <c r="L27" s="26">
        <f>((('Equipment Costs'!V9)+('System Variables'!$D$53)+'Labor Rate'!$L$8))</f>
        <v>8393.9342981084483</v>
      </c>
      <c r="M27" s="11" t="s">
        <v>170</v>
      </c>
      <c r="N27" s="10">
        <f>'Pricing-GP-Margin'!G8</f>
        <v>12801.536321818488</v>
      </c>
      <c r="O27" s="26">
        <f>((('Equipment Costs'!AA9)+('System Variables'!$D$53)+'Labor Rate'!$L$8))</f>
        <v>8703.4942981084496</v>
      </c>
      <c r="P27" s="39"/>
    </row>
    <row r="28" spans="1:16" x14ac:dyDescent="0.3">
      <c r="A28" s="11" t="s">
        <v>171</v>
      </c>
      <c r="B28" s="10">
        <f>'Pricing-GP-Margin'!C17</f>
        <v>8175.1516510141355</v>
      </c>
      <c r="C28" s="238">
        <f>((('Equipment Costs'!G16)+('System Variables'!$F$53)+'Labor Rate'!$L$8))-650</f>
        <v>5929.4842981084494</v>
      </c>
      <c r="D28" s="11" t="s">
        <v>171</v>
      </c>
      <c r="E28" s="10">
        <f>'Pricing-GP-Margin'!D17</f>
        <v>9935.5368029566143</v>
      </c>
      <c r="F28" s="26">
        <f>((('Equipment Costs'!L16)+('System Variables'!$F$53)+'Labor Rate'!$L$8))</f>
        <v>7673.844298108449</v>
      </c>
      <c r="G28" s="11" t="s">
        <v>171</v>
      </c>
      <c r="H28" s="10">
        <f>'Pricing-GP-Margin'!E17</f>
        <v>10789.261287231415</v>
      </c>
      <c r="I28" s="26">
        <f>((('Equipment Costs'!Q16)+('System Variables'!$F$53)+'Labor Rate'!$L$8))</f>
        <v>7981.2242981084491</v>
      </c>
      <c r="J28" s="11" t="s">
        <v>171</v>
      </c>
      <c r="K28" s="10">
        <f>'Pricing-GP-Margin'!F17</f>
        <v>11473.127912327785</v>
      </c>
      <c r="L28" s="26">
        <f>((('Equipment Costs'!V16)+('System Variables'!$F$53)+'Labor Rate'!$L$8))</f>
        <v>8110.9342981084492</v>
      </c>
      <c r="M28" s="11" t="s">
        <v>171</v>
      </c>
      <c r="N28" s="10">
        <f>'Pricing-GP-Margin'!G17</f>
        <v>12330.029144784996</v>
      </c>
      <c r="O28" s="26">
        <f>((('Equipment Costs'!AA16)+('System Variables'!$F$53)+'Labor Rate'!$L$8))</f>
        <v>8309.3142981084493</v>
      </c>
      <c r="P28" s="39"/>
    </row>
    <row r="29" spans="1:16" x14ac:dyDescent="0.3">
      <c r="A29" s="11" t="s">
        <v>172</v>
      </c>
      <c r="B29" s="10">
        <f>'Pricing-GP-Margin'!C26</f>
        <v>8080.6706537842183</v>
      </c>
      <c r="C29" s="238">
        <f>((('Equipment Costs'!G23)+('System Variables'!$H$53)+'Labor Rate'!$L$8))-650</f>
        <v>5844.2151981084498</v>
      </c>
      <c r="D29" s="11" t="s">
        <v>172</v>
      </c>
      <c r="E29" s="10">
        <f>'Pricing-GP-Margin'!D26</f>
        <v>9382.3239250170864</v>
      </c>
      <c r="F29" s="26">
        <f>((('Equipment Costs'!L23)+('System Variables'!$H$53)+'Labor Rate'!$L$8))</f>
        <v>7179.8251981084495</v>
      </c>
      <c r="G29" s="11" t="s">
        <v>172</v>
      </c>
      <c r="H29" s="10">
        <f>'Pricing-GP-Margin'!E26</f>
        <v>9544.3309668652801</v>
      </c>
      <c r="I29" s="26">
        <f>((('Equipment Costs'!Q23)+('System Variables'!$H$53)+'Labor Rate'!$L$8))</f>
        <v>6893.1551981084494</v>
      </c>
      <c r="J29" s="11" t="s">
        <v>172</v>
      </c>
      <c r="K29" s="10">
        <f>'Pricing-GP-Margin'!F26</f>
        <v>10252.801479579248</v>
      </c>
      <c r="L29" s="26">
        <f>((('Equipment Costs'!V23)+('System Variables'!$H$53)+'Labor Rate'!$L$8))</f>
        <v>7067.55519810845</v>
      </c>
      <c r="M29" s="11" t="s">
        <v>172</v>
      </c>
      <c r="N29" s="27"/>
      <c r="O29" s="26">
        <f>((('Equipment Costs'!AA23)+('System Variables'!$H$53)+'Labor Rate'!$L$8))</f>
        <v>6369.9551981084496</v>
      </c>
      <c r="P29" s="39"/>
    </row>
    <row r="30" spans="1:16" x14ac:dyDescent="0.3">
      <c r="A30" s="11" t="s">
        <v>173</v>
      </c>
      <c r="B30" s="10">
        <f>'Pricing-GP-Margin'!C35</f>
        <v>8074.6318726207837</v>
      </c>
      <c r="C30" s="238">
        <f>((('Equipment Costs'!G30)+('System Variables'!$J$53)+'Labor Rate'!$L$8))-650</f>
        <v>5838.7651981084491</v>
      </c>
      <c r="D30" s="11" t="s">
        <v>173</v>
      </c>
      <c r="E30" s="10">
        <f>'Pricing-GP-Margin'!D35</f>
        <v>9354.2500168423958</v>
      </c>
      <c r="F30" s="26">
        <f>((('Equipment Costs'!L30)+('System Variables'!$J$53)+'Labor Rate'!$L$8))</f>
        <v>7154.7551981084498</v>
      </c>
      <c r="G30" s="11" t="s">
        <v>173</v>
      </c>
      <c r="H30" s="10">
        <f>'Pricing-GP-Margin'!E35</f>
        <v>9606.6879462703146</v>
      </c>
      <c r="I30" s="26">
        <f>((('Equipment Costs'!Q30)+('System Variables'!$J$53)+'Labor Rate'!$L$8))</f>
        <v>6947.6551981084494</v>
      </c>
      <c r="J30" s="11" t="s">
        <v>173</v>
      </c>
      <c r="K30" s="10">
        <f>'Pricing-GP-Margin'!F35</f>
        <v>10252.801479579248</v>
      </c>
      <c r="L30" s="26">
        <f>((('Equipment Costs'!V30)+('System Variables'!$J$53)+'Labor Rate'!$L$8))</f>
        <v>7067.55519810845</v>
      </c>
      <c r="M30" s="11" t="s">
        <v>173</v>
      </c>
      <c r="N30" s="27"/>
      <c r="O30" s="26">
        <f>((('Equipment Costs'!AA30)+('System Variables'!$J$53)+'Labor Rate'!$L$8))</f>
        <v>6369.9551981084496</v>
      </c>
      <c r="P30" s="39"/>
    </row>
    <row r="31" spans="1:16" x14ac:dyDescent="0.3">
      <c r="A31" s="11" t="s">
        <v>174</v>
      </c>
      <c r="B31" s="10">
        <f>'Pricing-GP-Margin'!C44</f>
        <v>5679.3828975515307</v>
      </c>
      <c r="C31" s="238">
        <f>((('Equipment Costs'!G37)+('System Variables'!$L$53)+'Labor Rate'!$L$8))</f>
        <v>4327.0529981084492</v>
      </c>
      <c r="D31" s="11" t="s">
        <v>174</v>
      </c>
      <c r="E31" s="10">
        <f>'Pricing-GP-Margin'!D44</f>
        <v>6885.9160862712833</v>
      </c>
      <c r="F31" s="26">
        <f>((('Equipment Costs'!L37)+('System Variables'!$L$53)+'Labor Rate'!$L$8))</f>
        <v>4950.5329981084487</v>
      </c>
      <c r="G31" s="11" t="s">
        <v>174</v>
      </c>
      <c r="H31" s="10">
        <f>'Pricing-GP-Margin'!E44</f>
        <v>8188.4131178950292</v>
      </c>
      <c r="I31" s="26">
        <f>((('Equipment Costs'!Q37)+('System Variables'!$L$53)+'Labor Rate'!$L$8))</f>
        <v>5708.0829981084489</v>
      </c>
      <c r="J31" s="11" t="s">
        <v>174</v>
      </c>
      <c r="K31" s="10">
        <f>'Pricing-GP-Margin'!F44</f>
        <v>8839.9801930295398</v>
      </c>
      <c r="L31" s="26">
        <f>((('Equipment Costs'!V37)+('System Variables'!$L$53)+'Labor Rate'!$L$8))</f>
        <v>5859.5929981084491</v>
      </c>
      <c r="M31" s="11" t="s">
        <v>174</v>
      </c>
      <c r="N31" s="10">
        <f>'Pricing-GP-Margin'!G44</f>
        <v>9768.7237620098749</v>
      </c>
      <c r="O31" s="26">
        <f>((('Equipment Costs'!AA37)+('System Variables'!$L$53)+'Labor Rate'!$L$8))</f>
        <v>6168.0629981084494</v>
      </c>
      <c r="P31" s="39"/>
    </row>
    <row r="32" spans="1:16" x14ac:dyDescent="0.3">
      <c r="A32" s="11" t="s">
        <v>175</v>
      </c>
      <c r="B32" s="10">
        <f>'Pricing-GP-Margin'!C53</f>
        <v>5312.1088809310331</v>
      </c>
      <c r="C32" s="238">
        <f>((('Equipment Costs'!G44)+('System Variables'!$N$53)+'Labor Rate'!$L$8))</f>
        <v>3995.588198108449</v>
      </c>
      <c r="D32" s="11" t="s">
        <v>175</v>
      </c>
      <c r="E32" s="10">
        <f>'Pricing-GP-Margin'!D53</f>
        <v>6110.7147424862897</v>
      </c>
      <c r="F32" s="26">
        <f>((('Equipment Costs'!L44)+('System Variables'!$N$53)+'Labor Rate'!$L$8))</f>
        <v>4258.278198108449</v>
      </c>
      <c r="G32" s="11" t="s">
        <v>175</v>
      </c>
      <c r="H32" s="10">
        <f>'Pricing-GP-Margin'!E53</f>
        <v>8375.3641476433131</v>
      </c>
      <c r="I32" s="26">
        <f>((('Equipment Costs'!Q44)+('System Variables'!$N$53)+'Labor Rate'!$L$8))</f>
        <v>5871.4781981084489</v>
      </c>
      <c r="J32" s="11" t="s">
        <v>175</v>
      </c>
      <c r="K32" s="27"/>
      <c r="L32" s="26">
        <f>((('Equipment Costs'!V44)+('System Variables'!$N$53)+'Labor Rate'!$L$8))</f>
        <v>6364.1581981084491</v>
      </c>
      <c r="M32" s="11" t="s">
        <v>175</v>
      </c>
      <c r="N32" s="27"/>
      <c r="O32" s="26">
        <f>((('Equipment Costs'!AA44)+('System Variables'!$N$53)+'Labor Rate'!$L$8))</f>
        <v>6468.7981981084495</v>
      </c>
      <c r="P32" s="39"/>
    </row>
    <row r="33" spans="1:16" x14ac:dyDescent="0.3">
      <c r="A33" s="11"/>
      <c r="B33" s="10"/>
      <c r="C33" s="41"/>
      <c r="D33" s="13"/>
      <c r="E33" s="10"/>
      <c r="F33" s="22"/>
      <c r="G33" s="12"/>
      <c r="H33" s="10"/>
      <c r="I33" s="22"/>
      <c r="J33" s="12"/>
      <c r="K33" s="10"/>
      <c r="L33" s="22"/>
      <c r="M33" s="12"/>
      <c r="N33" s="10"/>
      <c r="O33" s="22"/>
      <c r="P33" s="39"/>
    </row>
    <row r="34" spans="1:16" x14ac:dyDescent="0.3">
      <c r="A34" s="242">
        <v>30</v>
      </c>
      <c r="B34" s="248"/>
      <c r="C34" s="243"/>
      <c r="D34" s="243"/>
      <c r="E34" s="248"/>
      <c r="F34" s="244"/>
      <c r="G34" s="244"/>
      <c r="H34" s="248"/>
      <c r="I34" s="244"/>
      <c r="J34" s="244"/>
      <c r="K34" s="248"/>
      <c r="L34" s="244"/>
      <c r="M34" s="244"/>
      <c r="N34" s="248"/>
      <c r="O34" s="244"/>
      <c r="P34" s="39"/>
    </row>
    <row r="35" spans="1:16" x14ac:dyDescent="0.3">
      <c r="A35" s="11" t="s">
        <v>170</v>
      </c>
      <c r="B35" s="10">
        <f>'Pricing-GP-Margin'!C7</f>
        <v>7912.6253352246613</v>
      </c>
      <c r="C35" s="238">
        <f>((('Equipment Costs'!G8)+('System Variables'!$D$53)+'Labor Rate'!$L$8))-650</f>
        <v>5692.5542981084491</v>
      </c>
      <c r="D35" s="11" t="s">
        <v>170</v>
      </c>
      <c r="E35" s="10">
        <f>'Pricing-GP-Margin'!D7</f>
        <v>9438.3027604034232</v>
      </c>
      <c r="F35" s="26">
        <f>((('Equipment Costs'!L8)+('System Variables'!$D$53)+'Labor Rate'!$L$8))</f>
        <v>7229.8142981084493</v>
      </c>
      <c r="G35" s="11" t="s">
        <v>170</v>
      </c>
      <c r="H35" s="10">
        <f>'Pricing-GP-Margin'!E7</f>
        <v>10826.217808970543</v>
      </c>
      <c r="I35" s="26">
        <f>((('Equipment Costs'!Q8)+('System Variables'!$D$53)+'Labor Rate'!$L$8))</f>
        <v>8013.5242981084493</v>
      </c>
      <c r="J35" s="11" t="s">
        <v>170</v>
      </c>
      <c r="K35" s="10">
        <f>'Pricing-GP-Margin'!F15</f>
        <v>11473.127912327785</v>
      </c>
      <c r="L35" s="26">
        <f>((('Equipment Costs'!V8)+('System Variables'!$D$53)+'Labor Rate'!$L$8))</f>
        <v>8393.9342981084483</v>
      </c>
      <c r="M35" s="11" t="s">
        <v>170</v>
      </c>
      <c r="N35" s="10">
        <f>'Pricing-GP-Margin'!G16</f>
        <v>12330.029144784996</v>
      </c>
      <c r="O35" s="26">
        <f>((('Equipment Costs'!AA8)+('System Variables'!$D$53)+'Labor Rate'!$L$8))</f>
        <v>8703.4942981084496</v>
      </c>
      <c r="P35" s="39"/>
    </row>
    <row r="36" spans="1:16" x14ac:dyDescent="0.3">
      <c r="A36" s="11" t="s">
        <v>171</v>
      </c>
      <c r="B36" s="10">
        <f>'Pricing-GP-Margin'!C16</f>
        <v>7972.2486039227224</v>
      </c>
      <c r="C36" s="238">
        <f>((('Equipment Costs'!G15)+('System Variables'!$F$53)+'Labor Rate'!$L$8))-650</f>
        <v>5746.3642981084495</v>
      </c>
      <c r="D36" s="11" t="s">
        <v>171</v>
      </c>
      <c r="E36" s="10">
        <f>'Pricing-GP-Margin'!D16</f>
        <v>9674.3273964616546</v>
      </c>
      <c r="F36" s="26">
        <f>((('Equipment Costs'!L15)+('System Variables'!$F$53)+'Labor Rate'!$L$8))</f>
        <v>7440.5842981084488</v>
      </c>
      <c r="G36" s="11" t="s">
        <v>171</v>
      </c>
      <c r="H36" s="10">
        <f>'Pricing-GP-Margin'!E16</f>
        <v>10648.334513776037</v>
      </c>
      <c r="I36" s="26">
        <f>((('Equipment Costs'!Q15)+('System Variables'!$F$53)+'Labor Rate'!$L$8))</f>
        <v>7858.0542981084491</v>
      </c>
      <c r="J36" s="11" t="s">
        <v>171</v>
      </c>
      <c r="K36" s="10">
        <f>'Pricing-GP-Margin'!F16</f>
        <v>11473.127912327785</v>
      </c>
      <c r="L36" s="26">
        <f>((('Equipment Costs'!V15)+('System Variables'!$F$53)+'Labor Rate'!$L$8))</f>
        <v>8110.9342981084492</v>
      </c>
      <c r="M36" s="11" t="s">
        <v>171</v>
      </c>
      <c r="N36" s="10">
        <f>'Pricing-GP-Margin'!G16</f>
        <v>12330.029144784996</v>
      </c>
      <c r="O36" s="26">
        <f>((('Equipment Costs'!AA15)+('System Variables'!$F$53)+'Labor Rate'!$L$8))</f>
        <v>8309.3142981084493</v>
      </c>
      <c r="P36" s="39"/>
    </row>
    <row r="37" spans="1:16" x14ac:dyDescent="0.3">
      <c r="A37" s="11" t="s">
        <v>172</v>
      </c>
      <c r="B37" s="10">
        <f>'Pricing-GP-Margin'!C25</f>
        <v>8033.5681607094266</v>
      </c>
      <c r="C37" s="238">
        <f>((('Equipment Costs'!G22)+('System Variables'!$H$53)+'Labor Rate'!$L$8))-650</f>
        <v>5801.7051981084496</v>
      </c>
      <c r="D37" s="11" t="s">
        <v>172</v>
      </c>
      <c r="E37" s="10">
        <f>'Pricing-GP-Margin'!D25</f>
        <v>9295.6609910865136</v>
      </c>
      <c r="F37" s="26">
        <f>((('Equipment Costs'!L22)+('System Variables'!$H$53)+'Labor Rate'!$L$8))</f>
        <v>7102.4351981084492</v>
      </c>
      <c r="G37" s="11" t="s">
        <v>172</v>
      </c>
      <c r="H37" s="10">
        <f>'Pricing-GP-Margin'!E25</f>
        <v>9544.3309668652801</v>
      </c>
      <c r="I37" s="26">
        <f>((('Equipment Costs'!Q22)+('System Variables'!$H$53)+'Labor Rate'!$L$8))</f>
        <v>6893.1551981084494</v>
      </c>
      <c r="J37" s="11" t="s">
        <v>172</v>
      </c>
      <c r="K37" s="27"/>
      <c r="L37" s="26">
        <f>((('Equipment Costs'!V22)+('System Variables'!$H$53)+'Labor Rate'!$L$8))</f>
        <v>6369.9551981084496</v>
      </c>
      <c r="M37" s="11" t="s">
        <v>172</v>
      </c>
      <c r="N37" s="27"/>
      <c r="O37" s="26">
        <f>((('Equipment Costs'!AA22)+('System Variables'!$H$53)+'Labor Rate'!$L$8))</f>
        <v>6369.9551981084496</v>
      </c>
      <c r="P37" s="39"/>
    </row>
    <row r="38" spans="1:16" x14ac:dyDescent="0.3">
      <c r="A38" s="11" t="s">
        <v>173</v>
      </c>
      <c r="B38" s="10">
        <f>'Pricing-GP-Margin'!C34</f>
        <v>7949.025224421338</v>
      </c>
      <c r="C38" s="238">
        <f>((('Equipment Costs'!G29)+('System Variables'!$J$53)+'Labor Rate'!$L$8))-650</f>
        <v>5725.4051981084494</v>
      </c>
      <c r="D38" s="11" t="s">
        <v>173</v>
      </c>
      <c r="E38" s="10">
        <f>'Pricing-GP-Margin'!D34</f>
        <v>9177.2623348715097</v>
      </c>
      <c r="F38" s="26">
        <f>((('Equipment Costs'!L29)+('System Variables'!$J$53)+'Labor Rate'!$L$8))</f>
        <v>6996.7051981084496</v>
      </c>
      <c r="G38" s="11" t="s">
        <v>173</v>
      </c>
      <c r="H38" s="10">
        <f>'Pricing-GP-Margin'!E34</f>
        <v>9606.6879462703146</v>
      </c>
      <c r="I38" s="26">
        <f>((('Equipment Costs'!Q29)+('System Variables'!$J$53)+'Labor Rate'!$L$8))</f>
        <v>6947.6551981084494</v>
      </c>
      <c r="J38" s="11" t="s">
        <v>173</v>
      </c>
      <c r="K38" s="27"/>
      <c r="L38" s="26">
        <f>((('Equipment Costs'!V29)+('System Variables'!$J$53)+'Labor Rate'!$L$8))</f>
        <v>6369.9551981084496</v>
      </c>
      <c r="M38" s="11" t="s">
        <v>173</v>
      </c>
      <c r="N38" s="27"/>
      <c r="O38" s="26">
        <f>((('Equipment Costs'!AA29)+('System Variables'!$J$53)+'Labor Rate'!$L$8))</f>
        <v>6369.9551981084496</v>
      </c>
      <c r="P38" s="39"/>
    </row>
    <row r="39" spans="1:16" x14ac:dyDescent="0.3">
      <c r="A39" s="11" t="s">
        <v>174</v>
      </c>
      <c r="B39" s="10">
        <f>'Pricing-GP-Margin'!C43</f>
        <v>5585.1779114019464</v>
      </c>
      <c r="C39" s="238">
        <f>((('Equipment Costs'!G36)+('System Variables'!$L$53)+'Labor Rate'!$L$8))</f>
        <v>4242.0329981084487</v>
      </c>
      <c r="D39" s="11" t="s">
        <v>174</v>
      </c>
      <c r="E39" s="10">
        <f>'Pricing-GP-Margin'!D43</f>
        <v>6761.4144065400415</v>
      </c>
      <c r="F39" s="26">
        <f>((('Equipment Costs'!L36)+('System Variables'!$L$53)+'Labor Rate'!$L$8))</f>
        <v>4839.3529981084494</v>
      </c>
      <c r="G39" s="11" t="s">
        <v>174</v>
      </c>
      <c r="H39" s="10">
        <f>'Pricing-GP-Margin'!E43</f>
        <v>8108.5961842565875</v>
      </c>
      <c r="I39" s="26">
        <f>((('Equipment Costs'!Q36)+('System Variables'!$L$53)+'Labor Rate'!$L$8))</f>
        <v>5638.3229981084496</v>
      </c>
      <c r="J39" s="11" t="s">
        <v>174</v>
      </c>
      <c r="K39" s="10">
        <f>'Pricing-GP-Margin'!F43</f>
        <v>8839.9801930295398</v>
      </c>
      <c r="L39" s="26">
        <f>((('Equipment Costs'!V36)+('System Variables'!$L$53)+'Labor Rate'!$L$8))</f>
        <v>5859.5929981084491</v>
      </c>
      <c r="M39" s="11" t="s">
        <v>174</v>
      </c>
      <c r="N39" s="27"/>
      <c r="O39" s="26">
        <f>((('Equipment Costs'!AA36)+('System Variables'!$L$53)+'Labor Rate'!$L$8))</f>
        <v>5078.0629981084494</v>
      </c>
      <c r="P39" s="39"/>
    </row>
    <row r="40" spans="1:16" x14ac:dyDescent="0.3">
      <c r="A40" s="11" t="s">
        <v>175</v>
      </c>
      <c r="B40" s="10">
        <f>'Pricing-GP-Margin'!C52</f>
        <v>5283.1227313465461</v>
      </c>
      <c r="C40" s="238">
        <f>((('Equipment Costs'!G43)+('System Variables'!$N$53)+'Labor Rate'!$L$8))</f>
        <v>3969.4281981084491</v>
      </c>
      <c r="D40" s="11" t="s">
        <v>175</v>
      </c>
      <c r="E40" s="10">
        <f>'Pricing-GP-Margin'!D52</f>
        <v>6077.758415498608</v>
      </c>
      <c r="F40" s="26">
        <f>((('Equipment Costs'!L43)+('System Variables'!$N$53)+'Labor Rate'!$L$8))</f>
        <v>4228.8481981084497</v>
      </c>
      <c r="G40" s="11" t="s">
        <v>175</v>
      </c>
      <c r="H40" s="10">
        <f>'Pricing-GP-Margin'!E52</f>
        <v>8341.6913787645954</v>
      </c>
      <c r="I40" s="26">
        <f>((('Equipment Costs'!Q43)+('System Variables'!$N$53)+'Labor Rate'!$L$8))</f>
        <v>5842.0481981084495</v>
      </c>
      <c r="J40" s="11" t="s">
        <v>175</v>
      </c>
      <c r="K40" s="27"/>
      <c r="L40" s="26">
        <f>((('Equipment Costs'!V43)+('System Variables'!$N$53)+'Labor Rate'!$L$8))</f>
        <v>5046.3481981084497</v>
      </c>
      <c r="M40" s="11" t="s">
        <v>175</v>
      </c>
      <c r="N40" s="27"/>
      <c r="O40" s="26">
        <f>((('Equipment Costs'!AA43)+('System Variables'!$N$53)+'Labor Rate'!$L$8))</f>
        <v>5046.3481981084497</v>
      </c>
      <c r="P40" s="39"/>
    </row>
    <row r="41" spans="1:16" x14ac:dyDescent="0.3">
      <c r="A41" s="11"/>
      <c r="B41" s="10"/>
      <c r="C41" s="41"/>
      <c r="D41" s="13"/>
      <c r="E41" s="10"/>
      <c r="F41" s="23"/>
      <c r="G41" s="13"/>
      <c r="H41" s="10"/>
      <c r="I41" s="23"/>
      <c r="J41" s="13"/>
      <c r="K41" s="10"/>
      <c r="L41" s="23"/>
      <c r="M41" s="13"/>
      <c r="N41" s="10"/>
      <c r="O41" s="23"/>
      <c r="P41" s="39"/>
    </row>
    <row r="42" spans="1:16" x14ac:dyDescent="0.3">
      <c r="A42" s="242">
        <v>24</v>
      </c>
      <c r="B42" s="248"/>
      <c r="C42" s="243"/>
      <c r="D42" s="243"/>
      <c r="E42" s="248"/>
      <c r="F42" s="243"/>
      <c r="G42" s="243"/>
      <c r="H42" s="248"/>
      <c r="I42" s="243"/>
      <c r="J42" s="243"/>
      <c r="K42" s="248"/>
      <c r="L42" s="243"/>
      <c r="M42" s="243"/>
      <c r="N42" s="248"/>
      <c r="O42" s="243"/>
      <c r="P42" s="39"/>
    </row>
    <row r="43" spans="1:16" x14ac:dyDescent="0.3">
      <c r="A43" s="11" t="s">
        <v>170</v>
      </c>
      <c r="B43" s="10">
        <f>'Pricing-GP-Margin'!C6</f>
        <v>7840.1599612634427</v>
      </c>
      <c r="C43" s="238">
        <f>((('Equipment Costs'!G7)+('System Variables'!$D$53)+'Labor Rate'!$L$8))-650</f>
        <v>5627.1542981084494</v>
      </c>
      <c r="D43" s="11" t="s">
        <v>170</v>
      </c>
      <c r="E43" s="10">
        <f>'Pricing-GP-Margin'!D6</f>
        <v>9393.1403863832675</v>
      </c>
      <c r="F43" s="26">
        <f>((('Equipment Costs'!L7)+('System Variables'!$D$53)+'Labor Rate'!$L$8))</f>
        <v>7189.4842981084494</v>
      </c>
      <c r="G43" s="11" t="s">
        <v>170</v>
      </c>
      <c r="H43" s="10">
        <f>'Pricing-GP-Margin'!E6</f>
        <v>10741.412316979699</v>
      </c>
      <c r="I43" s="26">
        <f>((('Equipment Costs'!Q7)+('System Variables'!$D$53)+'Labor Rate'!$L$8))</f>
        <v>7939.4042981084494</v>
      </c>
      <c r="J43" s="11" t="s">
        <v>170</v>
      </c>
      <c r="K43" s="10">
        <f>'Pricing-GP-Margin'!F6</f>
        <v>11675.361830456439</v>
      </c>
      <c r="L43" s="26">
        <f>((('Equipment Costs'!V7)+('System Variables'!$D$53)+'Labor Rate'!$L$8))</f>
        <v>8283.8442981084481</v>
      </c>
      <c r="M43" s="11" t="s">
        <v>170</v>
      </c>
      <c r="N43" s="27"/>
      <c r="O43" s="26">
        <f>((('Equipment Costs'!AA7)+('System Variables'!$D$53)+'Labor Rate'!$L$8))</f>
        <v>6499.5142981084491</v>
      </c>
      <c r="P43" s="39"/>
    </row>
    <row r="44" spans="1:16" x14ac:dyDescent="0.3">
      <c r="A44" s="11" t="s">
        <v>171</v>
      </c>
      <c r="B44" s="10">
        <f>'Pricing-GP-Margin'!C15</f>
        <v>7772.9688255293704</v>
      </c>
      <c r="C44" s="238">
        <f>((('Equipment Costs'!G14)+('System Variables'!$F$53)+'Labor Rate'!$L$8))-650</f>
        <v>5566.5142981084491</v>
      </c>
      <c r="D44" s="11" t="s">
        <v>171</v>
      </c>
      <c r="E44" s="10">
        <f>'Pricing-GP-Margin'!D15</f>
        <v>9526.6342273687096</v>
      </c>
      <c r="F44" s="26">
        <f>((('Equipment Costs'!L14)+('System Variables'!$F$53)+'Labor Rate'!$L$8))</f>
        <v>7308.6942981084494</v>
      </c>
      <c r="G44" s="11" t="s">
        <v>171</v>
      </c>
      <c r="H44" s="10">
        <f>'Pricing-GP-Margin'!E15</f>
        <v>10648.334513776037</v>
      </c>
      <c r="I44" s="26">
        <f>((('Equipment Costs'!Q14)+('System Variables'!$F$53)+'Labor Rate'!$L$8))</f>
        <v>7858.0542981084491</v>
      </c>
      <c r="J44" s="11" t="s">
        <v>171</v>
      </c>
      <c r="K44" s="10">
        <f>'Pricing-GP-Margin'!F15</f>
        <v>11473.127912327785</v>
      </c>
      <c r="L44" s="26">
        <f>((('Equipment Costs'!V14)+('System Variables'!$F$53)+'Labor Rate'!$L$8))</f>
        <v>8110.9342981084492</v>
      </c>
      <c r="M44" s="11" t="s">
        <v>171</v>
      </c>
      <c r="N44" s="27"/>
      <c r="O44" s="26">
        <f>((('Equipment Costs'!AA14)+('System Variables'!$F$53)+'Labor Rate'!$L$8))</f>
        <v>6401.8142981084493</v>
      </c>
      <c r="P44" s="39"/>
    </row>
    <row r="45" spans="1:16" x14ac:dyDescent="0.3">
      <c r="A45" s="11" t="s">
        <v>172</v>
      </c>
      <c r="B45" s="10">
        <f>'Pricing-GP-Margin'!C24</f>
        <v>7921.2468310695367</v>
      </c>
      <c r="C45" s="238">
        <f>((('Equipment Costs'!G21)+('System Variables'!$H$53)+'Labor Rate'!$L$8))-650</f>
        <v>5700.3351981084488</v>
      </c>
      <c r="D45" s="11" t="s">
        <v>172</v>
      </c>
      <c r="E45" s="10">
        <f>'Pricing-GP-Margin'!D24</f>
        <v>9160.1738690260427</v>
      </c>
      <c r="F45" s="26">
        <f>((('Equipment Costs'!L21)+('System Variables'!$H$53)+'Labor Rate'!$L$8))</f>
        <v>6981.4451981084494</v>
      </c>
      <c r="G45" s="11" t="s">
        <v>172</v>
      </c>
      <c r="H45" s="10">
        <f>'Pricing-GP-Margin'!E24</f>
        <v>9544.3309668652801</v>
      </c>
      <c r="I45" s="26">
        <f>((('Equipment Costs'!Q21)+('System Variables'!$H$53)+'Labor Rate'!$L$8))</f>
        <v>6893.1551981084494</v>
      </c>
      <c r="J45" s="11" t="s">
        <v>172</v>
      </c>
      <c r="K45" s="27"/>
      <c r="L45" s="26">
        <f>((('Equipment Costs'!V21)+('System Variables'!$H$53)+'Labor Rate'!$L$8))</f>
        <v>6369.9551981084496</v>
      </c>
      <c r="M45" s="11" t="s">
        <v>172</v>
      </c>
      <c r="N45" s="27"/>
      <c r="O45" s="26">
        <f>((('Equipment Costs'!AA21)+('System Variables'!$H$53)+'Labor Rate'!$L$8))</f>
        <v>6369.9551981084496</v>
      </c>
      <c r="P45" s="39"/>
    </row>
    <row r="46" spans="1:16" x14ac:dyDescent="0.3">
      <c r="A46" s="11" t="s">
        <v>173</v>
      </c>
      <c r="B46" s="10">
        <f>'Pricing-GP-Margin'!C33</f>
        <v>7854.8202382717527</v>
      </c>
      <c r="C46" s="238">
        <f>((('Equipment Costs'!G28)+('System Variables'!$J$53)+'Labor Rate'!$L$8))-650</f>
        <v>5640.385198108449</v>
      </c>
      <c r="D46" s="11" t="s">
        <v>173</v>
      </c>
      <c r="E46" s="10">
        <f>'Pricing-GP-Margin'!D33</f>
        <v>9089.37879623769</v>
      </c>
      <c r="F46" s="26">
        <f>((('Equipment Costs'!L28)+('System Variables'!$J$53)+'Labor Rate'!$L$8))</f>
        <v>6918.2251981084491</v>
      </c>
      <c r="G46" s="11" t="s">
        <v>173</v>
      </c>
      <c r="H46" s="10">
        <f>'Pricing-GP-Margin'!E33</f>
        <v>9606.6879462703146</v>
      </c>
      <c r="I46" s="26">
        <f>((('Equipment Costs'!Q28)+('System Variables'!$J$53)+'Labor Rate'!$L$8))</f>
        <v>6947.6551981084494</v>
      </c>
      <c r="J46" s="11" t="s">
        <v>173</v>
      </c>
      <c r="K46" s="27"/>
      <c r="L46" s="26">
        <f>((('Equipment Costs'!V28)+('System Variables'!$J$53)+'Labor Rate'!$L$8))</f>
        <v>6369.9551981084496</v>
      </c>
      <c r="M46" s="11" t="s">
        <v>173</v>
      </c>
      <c r="N46" s="27"/>
      <c r="O46" s="26">
        <f>((('Equipment Costs'!AA28)+('System Variables'!$J$53)+'Labor Rate'!$L$8))</f>
        <v>6369.9551981084496</v>
      </c>
      <c r="P46" s="39"/>
    </row>
    <row r="47" spans="1:16" x14ac:dyDescent="0.3">
      <c r="A47" s="11" t="s">
        <v>174</v>
      </c>
      <c r="B47" s="10">
        <f>'Pricing-GP-Margin'!C51</f>
        <v>5283.1227313465461</v>
      </c>
      <c r="C47" s="238">
        <f>((('Equipment Costs'!G35)+('System Variables'!$L$53)+'Labor Rate'!$L$8))</f>
        <v>4210.4229981084491</v>
      </c>
      <c r="D47" s="11" t="s">
        <v>174</v>
      </c>
      <c r="E47" s="10">
        <f>'Pricing-GP-Margin'!D51</f>
        <v>6077.758415498608</v>
      </c>
      <c r="F47" s="26">
        <f>((('Equipment Costs'!L35)+('System Variables'!$L$53)+'Labor Rate'!$L$8))</f>
        <v>4759.7829981084487</v>
      </c>
      <c r="G47" s="11" t="s">
        <v>174</v>
      </c>
      <c r="H47" s="10">
        <f>'Pricing-GP-Margin'!E51</f>
        <v>8341.6913787645954</v>
      </c>
      <c r="I47" s="26">
        <f>((('Equipment Costs'!Q35)+('System Variables'!$L$53)+'Labor Rate'!$L$8))</f>
        <v>5623.0629981084494</v>
      </c>
      <c r="J47" s="11" t="s">
        <v>174</v>
      </c>
      <c r="K47" s="27"/>
      <c r="L47" s="26">
        <f>((('Equipment Costs'!V35)+('System Variables'!$L$53)+'Labor Rate'!$L$8))</f>
        <v>5777.8429981084491</v>
      </c>
      <c r="M47" s="11" t="s">
        <v>174</v>
      </c>
      <c r="N47" s="27"/>
      <c r="O47" s="26">
        <f>((('Equipment Costs'!AA35)+('System Variables'!$L$53)+'Labor Rate'!$L$8))</f>
        <v>5078.0629981084494</v>
      </c>
      <c r="P47" s="39"/>
    </row>
    <row r="48" spans="1:16" x14ac:dyDescent="0.3">
      <c r="A48" s="11" t="s">
        <v>175</v>
      </c>
      <c r="B48" s="10">
        <f>'Pricing-GP-Margin'!C51</f>
        <v>5283.1227313465461</v>
      </c>
      <c r="C48" s="238">
        <f>((('Equipment Costs'!G42)+('System Variables'!$N$53)+'Labor Rate'!$L$8))</f>
        <v>3969.4281981084491</v>
      </c>
      <c r="D48" s="11" t="s">
        <v>175</v>
      </c>
      <c r="E48" s="10">
        <f>'Pricing-GP-Margin'!D51</f>
        <v>6077.758415498608</v>
      </c>
      <c r="F48" s="26">
        <f>((('Equipment Costs'!L42)+('System Variables'!$N$53)+'Labor Rate'!$L$8))</f>
        <v>4228.8481981084497</v>
      </c>
      <c r="G48" s="11" t="s">
        <v>175</v>
      </c>
      <c r="H48" s="10">
        <f>'Pricing-GP-Margin'!E51</f>
        <v>8341.6913787645954</v>
      </c>
      <c r="I48" s="26">
        <f>((('Equipment Costs'!Q42)+('System Variables'!$N$53)+'Labor Rate'!$L$8))</f>
        <v>5842.0481981084495</v>
      </c>
      <c r="J48" s="11" t="s">
        <v>175</v>
      </c>
      <c r="K48" s="27"/>
      <c r="L48" s="26">
        <f>((('Equipment Costs'!V42)+('System Variables'!$N$53)+'Labor Rate'!$L$8))</f>
        <v>6305.2981981084495</v>
      </c>
      <c r="M48" s="11" t="s">
        <v>175</v>
      </c>
      <c r="N48" s="27"/>
      <c r="O48" s="26">
        <f>((('Equipment Costs'!AA42)+('System Variables'!$N$53)+'Labor Rate'!$L$8))</f>
        <v>5046.3481981084497</v>
      </c>
      <c r="P48" s="39"/>
    </row>
    <row r="49" spans="1:16" x14ac:dyDescent="0.3">
      <c r="A49" s="57"/>
      <c r="B49" s="14"/>
      <c r="C49" s="40"/>
      <c r="D49" s="16"/>
      <c r="E49" s="14"/>
      <c r="F49" s="237"/>
      <c r="G49" s="18"/>
      <c r="H49" s="14"/>
      <c r="I49" s="237"/>
      <c r="J49" s="18"/>
      <c r="K49" s="14"/>
      <c r="L49" s="237"/>
      <c r="M49" s="18"/>
      <c r="N49" s="16"/>
      <c r="O49" s="237"/>
      <c r="P49" s="39"/>
    </row>
    <row r="50" spans="1:16" x14ac:dyDescent="0.3">
      <c r="A50" s="57"/>
      <c r="B50" s="15"/>
      <c r="C50" s="40"/>
      <c r="D50" s="16"/>
      <c r="E50" s="14"/>
      <c r="F50" s="237"/>
      <c r="G50" s="18"/>
      <c r="H50" s="14"/>
      <c r="I50" s="237"/>
      <c r="J50" s="18"/>
      <c r="K50" s="16"/>
      <c r="L50" s="237"/>
      <c r="M50" s="18"/>
      <c r="N50" s="16"/>
      <c r="O50" s="237"/>
      <c r="P50" s="39"/>
    </row>
    <row r="51" spans="1:16" x14ac:dyDescent="0.3">
      <c r="B51" s="240"/>
      <c r="E51" s="15"/>
      <c r="F51" s="24"/>
      <c r="G51" s="18"/>
      <c r="H51" s="14"/>
      <c r="I51" s="24"/>
      <c r="J51" s="18"/>
      <c r="K51" s="16"/>
      <c r="L51" s="24"/>
      <c r="M51" s="18"/>
      <c r="N51" s="16"/>
      <c r="O51" s="24"/>
      <c r="P51" s="9"/>
    </row>
    <row r="52" spans="1:16" x14ac:dyDescent="0.3">
      <c r="B52" s="240"/>
      <c r="E52" s="16"/>
      <c r="F52" s="24"/>
      <c r="G52" s="18"/>
      <c r="H52" s="20"/>
      <c r="I52" s="24"/>
      <c r="J52" s="18"/>
      <c r="K52" s="16"/>
      <c r="L52" s="24"/>
      <c r="M52" s="18"/>
      <c r="N52" s="16"/>
      <c r="O52" s="24"/>
      <c r="P52" s="9"/>
    </row>
    <row r="53" spans="1:16" x14ac:dyDescent="0.3">
      <c r="B53" s="240"/>
      <c r="E53" s="16"/>
      <c r="F53" s="24"/>
      <c r="G53" s="18"/>
      <c r="H53" s="20"/>
      <c r="I53" s="24"/>
      <c r="J53" s="18"/>
      <c r="K53" s="16"/>
      <c r="L53" s="24"/>
      <c r="M53" s="18"/>
      <c r="N53" s="16"/>
      <c r="O53" s="24"/>
      <c r="P53" s="9"/>
    </row>
    <row r="54" spans="1:16" x14ac:dyDescent="0.3">
      <c r="B54" s="240"/>
      <c r="H54" s="21"/>
    </row>
    <row r="55" spans="1:16" x14ac:dyDescent="0.3">
      <c r="B55" s="240"/>
      <c r="H55" s="21"/>
    </row>
    <row r="56" spans="1:16" x14ac:dyDescent="0.3">
      <c r="H56" s="21"/>
    </row>
    <row r="57" spans="1:16" x14ac:dyDescent="0.3">
      <c r="H57" s="21"/>
    </row>
    <row r="58" spans="1:16" x14ac:dyDescent="0.3">
      <c r="H58" s="21"/>
    </row>
    <row r="59" spans="1:16" x14ac:dyDescent="0.3">
      <c r="H59" s="21"/>
    </row>
    <row r="60" spans="1:16" x14ac:dyDescent="0.3">
      <c r="H60" s="21"/>
    </row>
    <row r="61" spans="1:16" x14ac:dyDescent="0.3">
      <c r="H61" s="21"/>
    </row>
    <row r="62" spans="1:16" x14ac:dyDescent="0.3">
      <c r="H62" s="21"/>
    </row>
  </sheetData>
  <pageMargins left="0.7" right="0.7" top="0.75" bottom="0.75" header="0.3" footer="0.3"/>
  <pageSetup orientation="portrait" verticalDpi="300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14</vt:i4>
      </vt:variant>
    </vt:vector>
  </HeadingPairs>
  <TitlesOfParts>
    <vt:vector size="19" baseType="lpstr">
      <vt:lpstr>Labor Rate</vt:lpstr>
      <vt:lpstr>System Variables</vt:lpstr>
      <vt:lpstr>Equipment Costs</vt:lpstr>
      <vt:lpstr>Pricing-GP-Margin</vt:lpstr>
      <vt:lpstr>Retail Prices-breakeven</vt:lpstr>
      <vt:lpstr>COND_COIL</vt:lpstr>
      <vt:lpstr>FURNACE</vt:lpstr>
      <vt:lpstr>PACKAGE_GAS</vt:lpstr>
      <vt:lpstr>PACKAGE_HP</vt:lpstr>
      <vt:lpstr>'Equipment Costs'!Print_Area</vt:lpstr>
      <vt:lpstr>'Labor Rate'!Print_Area</vt:lpstr>
      <vt:lpstr>'Pricing-GP-Margin'!Print_Area</vt:lpstr>
      <vt:lpstr>'System Variables'!Print_Area</vt:lpstr>
      <vt:lpstr>'Equipment Costs'!Print_Titles</vt:lpstr>
      <vt:lpstr>SPLIT_GAS</vt:lpstr>
      <vt:lpstr>SPLIT_HP</vt:lpstr>
      <vt:lpstr>SPLITGAS</vt:lpstr>
      <vt:lpstr>Systems</vt:lpstr>
      <vt:lpstr>Tons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Pricing GP per Man Day</dc:title>
  <dc:subject/>
  <dc:creator>Gary Elekes</dc:creator>
  <cp:keywords/>
  <dc:description/>
  <cp:lastModifiedBy>Beth Gundersen</cp:lastModifiedBy>
  <cp:revision/>
  <cp:lastPrinted>2024-04-22T18:02:54Z</cp:lastPrinted>
  <dcterms:created xsi:type="dcterms:W3CDTF">2012-02-29T15:19:38Z</dcterms:created>
  <dcterms:modified xsi:type="dcterms:W3CDTF">2024-08-14T16:00:54Z</dcterms:modified>
  <cp:category/>
  <cp:contentStatus/>
</cp:coreProperties>
</file>